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RASNOVO01\Desktop\LIMPEZA SMEC E SAUDE 17\LIMPEZA E JARDINAGEM EDUCAÇÃO E SAUDE  FINAL 30.06.22\LIMPEZA EMEF´S, EMEI´S  E UBS -PASTA FINAL PARA LICITAÇÃO\"/>
    </mc:Choice>
  </mc:AlternateContent>
  <xr:revisionPtr revIDLastSave="0" documentId="13_ncr:1_{360D9FAA-75CC-4413-BBB9-8B3647255FD4}" xr6:coauthVersionLast="47" xr6:coauthVersionMax="47" xr10:uidLastSave="{00000000-0000-0000-0000-000000000000}"/>
  <bookViews>
    <workbookView xWindow="0" yWindow="570" windowWidth="24000" windowHeight="12330" tabRatio="802" xr2:uid="{00000000-000D-0000-FFFF-FFFF00000000}"/>
  </bookViews>
  <sheets>
    <sheet name="PLANILHA DE COMP. DE CUSTO 1" sheetId="2" r:id="rId1"/>
    <sheet name="5. Depreciação" sheetId="6" r:id="rId2"/>
    <sheet name="PLANILHA DE COMP. DE CUSTO 2" sheetId="8" r:id="rId3"/>
    <sheet name="6.Remuneração de capital" sheetId="7" r:id="rId4"/>
  </sheets>
  <definedNames>
    <definedName name="AbaDeprec">'5. Depreciação'!$A$1</definedName>
    <definedName name="AbaRemun">'6.Remuneração de capital'!$A$1</definedName>
    <definedName name="_xlnm.Print_Area" localSheetId="0">'PLANILHA DE COMP. DE CUSTO 1'!$A$1:$F$315</definedName>
    <definedName name="_xlnm.Print_Area" localSheetId="2">'PLANILHA DE COMP. DE CUSTO 2'!$A$1:$F$312</definedName>
    <definedName name="_xlnm.Print_Titles" localSheetId="0">'PLANILHA DE COMP. DE CUSTO 1'!$1:$3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1" i="8" l="1"/>
  <c r="E269" i="8"/>
  <c r="E268" i="2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8" i="8"/>
  <c r="E267" i="8"/>
  <c r="E266" i="8"/>
  <c r="E265" i="8"/>
  <c r="E264" i="8"/>
  <c r="E263" i="8"/>
  <c r="E262" i="8"/>
  <c r="E261" i="8"/>
  <c r="C253" i="8"/>
  <c r="C251" i="8"/>
  <c r="E251" i="8" s="1"/>
  <c r="E249" i="8"/>
  <c r="D238" i="8"/>
  <c r="D236" i="8"/>
  <c r="D234" i="8"/>
  <c r="D232" i="8"/>
  <c r="D230" i="8"/>
  <c r="C230" i="8"/>
  <c r="C244" i="8" s="1"/>
  <c r="E244" i="8" s="1"/>
  <c r="F245" i="8" s="1"/>
  <c r="E28" i="8" s="1"/>
  <c r="C220" i="8"/>
  <c r="E220" i="8" s="1"/>
  <c r="C219" i="8"/>
  <c r="E219" i="8" s="1"/>
  <c r="C218" i="8"/>
  <c r="E218" i="8" s="1"/>
  <c r="C213" i="8"/>
  <c r="D207" i="8"/>
  <c r="E207" i="8" s="1"/>
  <c r="C200" i="8"/>
  <c r="E196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D84" i="8"/>
  <c r="E84" i="8" s="1"/>
  <c r="F85" i="8" s="1"/>
  <c r="E82" i="8"/>
  <c r="A77" i="8"/>
  <c r="E70" i="8"/>
  <c r="C65" i="8"/>
  <c r="E64" i="8"/>
  <c r="D65" i="8" s="1"/>
  <c r="A62" i="8"/>
  <c r="E60" i="8"/>
  <c r="E54" i="8"/>
  <c r="A52" i="8"/>
  <c r="A43" i="8"/>
  <c r="E40" i="8"/>
  <c r="A39" i="8"/>
  <c r="A38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9" i="8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7" i="2"/>
  <c r="E266" i="2"/>
  <c r="E265" i="2"/>
  <c r="E264" i="2"/>
  <c r="E263" i="2"/>
  <c r="E262" i="2"/>
  <c r="E261" i="2"/>
  <c r="E260" i="2"/>
  <c r="A23" i="2"/>
  <c r="D252" i="8" l="1"/>
  <c r="E252" i="8" s="1"/>
  <c r="D253" i="8" s="1"/>
  <c r="E253" i="8" s="1"/>
  <c r="F254" i="8" s="1"/>
  <c r="E29" i="8" s="1"/>
  <c r="E65" i="8"/>
  <c r="E66" i="8" s="1"/>
  <c r="D67" i="8" s="1"/>
  <c r="E67" i="8" s="1"/>
  <c r="E68" i="8" s="1"/>
  <c r="D69" i="8" s="1"/>
  <c r="E69" i="8" s="1"/>
  <c r="F70" i="8" s="1"/>
  <c r="E11" i="8" s="1"/>
  <c r="C232" i="8"/>
  <c r="E232" i="8" s="1"/>
  <c r="D110" i="8"/>
  <c r="E110" i="8" s="1"/>
  <c r="F111" i="8" s="1"/>
  <c r="F114" i="8" s="1"/>
  <c r="E14" i="8" s="1"/>
  <c r="D221" i="8"/>
  <c r="E221" i="8" s="1"/>
  <c r="F222" i="8" s="1"/>
  <c r="E26" i="8" s="1"/>
  <c r="D239" i="8"/>
  <c r="E22" i="8"/>
  <c r="E21" i="8"/>
  <c r="E19" i="8"/>
  <c r="C234" i="8"/>
  <c r="E234" i="8" s="1"/>
  <c r="E230" i="8"/>
  <c r="E13" i="8"/>
  <c r="D77" i="8"/>
  <c r="E77" i="8" s="1"/>
  <c r="F78" i="8" s="1"/>
  <c r="D55" i="8"/>
  <c r="E55" i="8" s="1"/>
  <c r="E56" i="8" s="1"/>
  <c r="D199" i="8"/>
  <c r="E199" i="8" s="1"/>
  <c r="D200" i="8" s="1"/>
  <c r="E200" i="8" s="1"/>
  <c r="E201" i="8" s="1"/>
  <c r="D202" i="8" s="1"/>
  <c r="E202" i="8" s="1"/>
  <c r="F203" i="8" s="1"/>
  <c r="E24" i="8" s="1"/>
  <c r="C209" i="8"/>
  <c r="F283" i="8"/>
  <c r="F285" i="8" s="1"/>
  <c r="E30" i="8" s="1"/>
  <c r="C238" i="8"/>
  <c r="E238" i="8" s="1"/>
  <c r="E31" i="8"/>
  <c r="C236" i="8"/>
  <c r="E236" i="8" s="1"/>
  <c r="D83" i="2"/>
  <c r="E83" i="2" s="1"/>
  <c r="F84" i="2" s="1"/>
  <c r="F240" i="8" l="1"/>
  <c r="E27" i="8" s="1"/>
  <c r="D57" i="8"/>
  <c r="E57" i="8" s="1"/>
  <c r="E58" i="8" s="1"/>
  <c r="D59" i="8" s="1"/>
  <c r="E59" i="8" s="1"/>
  <c r="F60" i="8" s="1"/>
  <c r="E12" i="8"/>
  <c r="E20" i="8"/>
  <c r="C210" i="8"/>
  <c r="D211" i="8" s="1"/>
  <c r="E106" i="2"/>
  <c r="E105" i="2"/>
  <c r="E104" i="2"/>
  <c r="E103" i="2"/>
  <c r="E108" i="2"/>
  <c r="A29" i="2"/>
  <c r="A28" i="2"/>
  <c r="A27" i="2"/>
  <c r="A26" i="2"/>
  <c r="A25" i="2"/>
  <c r="A24" i="2"/>
  <c r="C252" i="2"/>
  <c r="C250" i="2"/>
  <c r="E250" i="2" s="1"/>
  <c r="E248" i="2"/>
  <c r="D237" i="2"/>
  <c r="D235" i="2"/>
  <c r="D233" i="2"/>
  <c r="D231" i="2"/>
  <c r="D229" i="2"/>
  <c r="C229" i="2"/>
  <c r="C237" i="2" s="1"/>
  <c r="C219" i="2"/>
  <c r="E219" i="2" s="1"/>
  <c r="C218" i="2"/>
  <c r="E218" i="2" s="1"/>
  <c r="C217" i="2"/>
  <c r="C212" i="2"/>
  <c r="D206" i="2"/>
  <c r="E206" i="2" s="1"/>
  <c r="C199" i="2"/>
  <c r="E195" i="2"/>
  <c r="D198" i="2" s="1"/>
  <c r="A76" i="2"/>
  <c r="C64" i="2"/>
  <c r="A39" i="2"/>
  <c r="A38" i="2"/>
  <c r="A61" i="2"/>
  <c r="A51" i="2"/>
  <c r="E18" i="8" l="1"/>
  <c r="E10" i="8"/>
  <c r="F88" i="8"/>
  <c r="E9" i="8" s="1"/>
  <c r="E211" i="8"/>
  <c r="E212" i="8"/>
  <c r="D213" i="8" s="1"/>
  <c r="E213" i="8" s="1"/>
  <c r="F214" i="8" s="1"/>
  <c r="E25" i="8" s="1"/>
  <c r="E17" i="8"/>
  <c r="E237" i="2"/>
  <c r="E198" i="2"/>
  <c r="D199" i="2" s="1"/>
  <c r="E199" i="2" s="1"/>
  <c r="D238" i="2"/>
  <c r="C235" i="2"/>
  <c r="E235" i="2" s="1"/>
  <c r="D251" i="2"/>
  <c r="E251" i="2" s="1"/>
  <c r="D252" i="2" s="1"/>
  <c r="E252" i="2" s="1"/>
  <c r="F253" i="2" s="1"/>
  <c r="E29" i="2" s="1"/>
  <c r="C243" i="2"/>
  <c r="E243" i="2" s="1"/>
  <c r="F244" i="2" s="1"/>
  <c r="E28" i="2" s="1"/>
  <c r="C233" i="2"/>
  <c r="E233" i="2" s="1"/>
  <c r="C208" i="2"/>
  <c r="E229" i="2"/>
  <c r="C231" i="2"/>
  <c r="E231" i="2" s="1"/>
  <c r="F282" i="2"/>
  <c r="F284" i="2" s="1"/>
  <c r="F256" i="8" l="1"/>
  <c r="E15" i="8" s="1"/>
  <c r="E16" i="8"/>
  <c r="E23" i="8"/>
  <c r="C209" i="2"/>
  <c r="D210" i="2" s="1"/>
  <c r="E210" i="2" s="1"/>
  <c r="F239" i="2"/>
  <c r="E27" i="2" s="1"/>
  <c r="D201" i="2"/>
  <c r="E201" i="2" s="1"/>
  <c r="F202" i="2" s="1"/>
  <c r="E24" i="2" s="1"/>
  <c r="F298" i="8" l="1"/>
  <c r="D303" i="8" s="1"/>
  <c r="E303" i="8" s="1"/>
  <c r="F304" i="8" s="1"/>
  <c r="F306" i="8" s="1"/>
  <c r="E32" i="8" s="1"/>
  <c r="E211" i="2"/>
  <c r="D212" i="2" s="1"/>
  <c r="E212" i="2" s="1"/>
  <c r="F213" i="2" s="1"/>
  <c r="E25" i="2" s="1"/>
  <c r="A32" i="2"/>
  <c r="A31" i="2"/>
  <c r="A30" i="2"/>
  <c r="A15" i="2"/>
  <c r="A14" i="2"/>
  <c r="A9" i="2"/>
  <c r="E33" i="8" l="1"/>
  <c r="F309" i="8"/>
  <c r="F24" i="8" l="1"/>
  <c r="F28" i="8"/>
  <c r="F29" i="8"/>
  <c r="F19" i="8"/>
  <c r="F14" i="8"/>
  <c r="F21" i="8"/>
  <c r="F26" i="8"/>
  <c r="F27" i="8"/>
  <c r="F22" i="8"/>
  <c r="F30" i="8"/>
  <c r="F13" i="8"/>
  <c r="F11" i="8"/>
  <c r="F31" i="8"/>
  <c r="F12" i="8"/>
  <c r="F20" i="8"/>
  <c r="F10" i="8"/>
  <c r="F18" i="8"/>
  <c r="F17" i="8"/>
  <c r="F15" i="8"/>
  <c r="F9" i="8"/>
  <c r="F25" i="8"/>
  <c r="F16" i="8"/>
  <c r="F23" i="8"/>
  <c r="F32" i="8"/>
  <c r="C148" i="2"/>
  <c r="F33" i="8" l="1"/>
  <c r="E95" i="2"/>
  <c r="E96" i="2"/>
  <c r="E97" i="2"/>
  <c r="E98" i="2"/>
  <c r="E99" i="2"/>
  <c r="E100" i="2"/>
  <c r="E101" i="2"/>
  <c r="E102" i="2"/>
  <c r="E107" i="2"/>
  <c r="E94" i="2"/>
  <c r="A22" i="2" l="1"/>
  <c r="A21" i="2"/>
  <c r="A20" i="2"/>
  <c r="A19" i="2"/>
  <c r="A18" i="2"/>
  <c r="A17" i="2"/>
  <c r="A16" i="2"/>
  <c r="A13" i="2"/>
  <c r="A12" i="2"/>
  <c r="E69" i="2"/>
  <c r="E59" i="2"/>
  <c r="E217" i="2"/>
  <c r="D220" i="2" s="1"/>
  <c r="E220" i="2" s="1"/>
  <c r="F221" i="2" s="1"/>
  <c r="E26" i="2" s="1"/>
  <c r="E23" i="2" s="1"/>
  <c r="C76" i="2"/>
  <c r="A43" i="2"/>
  <c r="E53" i="2"/>
  <c r="D76" i="2" s="1"/>
  <c r="E30" i="2" l="1"/>
  <c r="E63" i="2"/>
  <c r="D64" i="2" s="1"/>
  <c r="E64" i="2" s="1"/>
  <c r="D109" i="2"/>
  <c r="E81" i="2"/>
  <c r="E40" i="2"/>
  <c r="E76" i="2"/>
  <c r="D54" i="2"/>
  <c r="E54" i="2" s="1"/>
  <c r="E55" i="2" s="1"/>
  <c r="D56" i="2" s="1"/>
  <c r="E21" i="2"/>
  <c r="E31" i="2"/>
  <c r="E22" i="2"/>
  <c r="E19" i="2" l="1"/>
  <c r="E109" i="2"/>
  <c r="F110" i="2" s="1"/>
  <c r="F113" i="2" s="1"/>
  <c r="F77" i="2"/>
  <c r="E12" i="2" s="1"/>
  <c r="E20" i="2"/>
  <c r="E13" i="2" l="1"/>
  <c r="E14" i="2"/>
  <c r="E65" i="2"/>
  <c r="F255" i="2" l="1"/>
  <c r="E15" i="2" s="1"/>
  <c r="E17" i="2"/>
  <c r="E18" i="2"/>
  <c r="D66" i="2"/>
  <c r="E16" i="2" l="1"/>
  <c r="E66" i="2"/>
  <c r="E67" i="2" s="1"/>
  <c r="D68" i="2" s="1"/>
  <c r="E68" i="2" s="1"/>
  <c r="F69" i="2" s="1"/>
  <c r="E56" i="2"/>
  <c r="E57" i="2" s="1"/>
  <c r="D58" i="2" s="1"/>
  <c r="E58" i="2" s="1"/>
  <c r="F59" i="2" s="1"/>
  <c r="E10" i="2" s="1"/>
  <c r="E11" i="2" l="1"/>
  <c r="F87" i="2"/>
  <c r="F297" i="2" l="1"/>
  <c r="D302" i="2" s="1"/>
  <c r="E302" i="2" s="1"/>
  <c r="F303" i="2" s="1"/>
  <c r="F305" i="2" s="1"/>
  <c r="E9" i="2"/>
  <c r="F308" i="2" l="1"/>
  <c r="F310" i="2" s="1"/>
  <c r="E32" i="2"/>
  <c r="E33" i="2" s="1"/>
  <c r="F27" i="2" l="1"/>
  <c r="F23" i="2"/>
  <c r="F26" i="2"/>
  <c r="F16" i="2"/>
  <c r="F29" i="2"/>
  <c r="F25" i="2"/>
  <c r="F28" i="2"/>
  <c r="F24" i="2"/>
  <c r="F9" i="2"/>
  <c r="F12" i="2"/>
  <c r="F31" i="2"/>
  <c r="F11" i="2"/>
  <c r="F14" i="2"/>
  <c r="F10" i="2"/>
  <c r="F15" i="2"/>
  <c r="F22" i="2"/>
  <c r="F21" i="2"/>
  <c r="F17" i="2"/>
  <c r="F18" i="2"/>
  <c r="F13" i="2"/>
  <c r="F19" i="2"/>
  <c r="F30" i="2"/>
  <c r="F20" i="2"/>
  <c r="F32" i="2"/>
  <c r="F3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7" authorId="0" shapeId="0" xr:uid="{00000000-0006-0000-0000-00000100000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3" authorId="0" shapeId="0" xr:uid="{00000000-0006-0000-0000-000003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56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58" authorId="0" shapeId="0" xr:uid="{00000000-0006-0000-0000-000005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66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68" authorId="0" shapeId="0" xr:uid="{00000000-0006-0000-0000-000007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4" authorId="0" shapeId="0" xr:uid="{00000000-0006-0000-0000-000008000000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75" authorId="0" shapeId="0" xr:uid="{00000000-0006-0000-0000-000009000000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76" authorId="0" shapeId="0" xr:uid="{00000000-0006-0000-0000-00000A000000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81" authorId="0" shapeId="0" xr:uid="{00000000-0006-0000-0000-00000B000000}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C94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4" authorId="0" shapeId="0" xr:uid="{00000000-0006-0000-0000-00000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5" authorId="0" shapeId="0" xr:uid="{00000000-0006-0000-0000-00000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5" authorId="0" shapeId="0" xr:uid="{00000000-0006-0000-0000-00000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6" authorId="0" shapeId="0" xr:uid="{00000000-0006-0000-0000-00001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6" authorId="0" shapeId="0" xr:uid="{00000000-0006-0000-0000-000011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7" authorId="0" shapeId="0" xr:uid="{00000000-0006-0000-0000-00001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7" authorId="0" shapeId="0" xr:uid="{00000000-0006-0000-0000-000013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8" authorId="0" shapeId="0" xr:uid="{00000000-0006-0000-0000-00001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8" authorId="0" shapeId="0" xr:uid="{00000000-0006-0000-0000-000015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9" authorId="0" shapeId="0" xr:uid="{00000000-0006-0000-0000-000016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9" authorId="0" shapeId="0" xr:uid="{00000000-0006-0000-0000-000017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0" authorId="0" shapeId="0" xr:uid="{00000000-0006-0000-0000-000018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0" authorId="0" shapeId="0" xr:uid="{00000000-0006-0000-0000-000019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1" authorId="0" shapeId="0" xr:uid="{00000000-0006-0000-0000-00001A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1" authorId="0" shapeId="0" xr:uid="{00000000-0006-0000-0000-00001B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2" authorId="0" shapeId="0" xr:uid="{00000000-0006-0000-0000-00001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2" authorId="0" shapeId="0" xr:uid="{00000000-0006-0000-0000-00001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7" authorId="0" shapeId="0" xr:uid="{00000000-0006-0000-0000-00001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7" authorId="0" shapeId="0" xr:uid="{00000000-0006-0000-0000-00001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108" authorId="0" shapeId="0" xr:uid="{00000000-0006-0000-0000-000020000000}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D121" authorId="0" shapeId="0" xr:uid="{00000000-0006-0000-0000-000021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22" authorId="0" shapeId="0" xr:uid="{00000000-0006-0000-0000-000022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23" authorId="0" shapeId="0" xr:uid="{00000000-0006-0000-0000-000023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24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26" authorId="0" shapeId="0" xr:uid="{00000000-0006-0000-0000-000025000000}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127" authorId="0" shapeId="0" xr:uid="{00000000-0006-0000-0000-000026000000}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C128" authorId="0" shapeId="0" xr:uid="{00000000-0006-0000-0000-000027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129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2" authorId="0" shapeId="0" xr:uid="{00000000-0006-0000-0000-000029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38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54" authorId="0" shapeId="0" xr:uid="{00000000-0006-0000-0000-00002B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155" authorId="0" shapeId="0" xr:uid="{00000000-0006-0000-0000-00002C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161" authorId="0" shapeId="0" xr:uid="{00000000-0006-0000-0000-00002D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164" authorId="0" shapeId="0" xr:uid="{00000000-0006-0000-0000-00002E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164" authorId="0" shapeId="0" xr:uid="{00000000-0006-0000-0000-00002F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166" authorId="0" shapeId="0" xr:uid="{00000000-0006-0000-0000-000030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166" authorId="0" shapeId="0" xr:uid="{00000000-0006-0000-0000-000031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168" authorId="0" shapeId="0" xr:uid="{00000000-0006-0000-0000-000032000000}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168" authorId="0" shapeId="0" xr:uid="{00000000-0006-0000-0000-000033000000}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170" authorId="0" shapeId="0" xr:uid="{00000000-0006-0000-0000-000034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170" authorId="0" shapeId="0" xr:uid="{00000000-0006-0000-0000-000035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172" authorId="0" shapeId="0" xr:uid="{00000000-0006-0000-0000-000036000000}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172" authorId="0" shapeId="0" xr:uid="{00000000-0006-0000-0000-000037000000}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179" authorId="0" shapeId="0" xr:uid="{00000000-0006-0000-0000-000038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184" authorId="0" shapeId="0" xr:uid="{00000000-0006-0000-0000-000039000000}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184" authorId="0" shapeId="0" xr:uid="{00000000-0006-0000-0000-00003A000000}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185" authorId="0" shapeId="0" xr:uid="{00000000-0006-0000-0000-00003B000000}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186" authorId="0" shapeId="0" xr:uid="{00000000-0006-0000-0000-00003C000000}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187" authorId="0" shapeId="0" xr:uid="{00000000-0006-0000-0000-00003D000000}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D195" authorId="0" shapeId="0" xr:uid="{00000000-0006-0000-0000-00003E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96" authorId="0" shapeId="0" xr:uid="{00000000-0006-0000-0000-00003F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97" authorId="0" shapeId="0" xr:uid="{00000000-0006-0000-0000-000040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98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01" authorId="0" shapeId="0" xr:uid="{00000000-0006-0000-0000-000042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207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18" authorId="0" shapeId="0" xr:uid="{00000000-0006-0000-0000-000044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219" authorId="0" shapeId="0" xr:uid="{00000000-0006-0000-0000-000045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225" authorId="0" shapeId="0" xr:uid="{00000000-0006-0000-0000-000046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228" authorId="0" shapeId="0" xr:uid="{00000000-0006-0000-0000-000047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28" authorId="0" shapeId="0" xr:uid="{00000000-0006-0000-0000-000048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30" authorId="0" shapeId="0" xr:uid="{00000000-0006-0000-0000-000049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230" authorId="0" shapeId="0" xr:uid="{00000000-0006-0000-0000-00004A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232" authorId="0" shapeId="0" xr:uid="{00000000-0006-0000-0000-00004B000000}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232" authorId="0" shapeId="0" xr:uid="{00000000-0006-0000-0000-00004C000000}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234" authorId="0" shapeId="0" xr:uid="{00000000-0006-0000-0000-00004D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34" authorId="0" shapeId="0" xr:uid="{00000000-0006-0000-0000-00004E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36" authorId="0" shapeId="0" xr:uid="{00000000-0006-0000-0000-00004F000000}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236" authorId="0" shapeId="0" xr:uid="{00000000-0006-0000-0000-000050000000}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243" authorId="0" shapeId="0" xr:uid="{00000000-0006-0000-0000-000051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248" authorId="0" shapeId="0" xr:uid="{00000000-0006-0000-0000-000052000000}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248" authorId="0" shapeId="0" xr:uid="{00000000-0006-0000-0000-000053000000}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249" authorId="0" shapeId="0" xr:uid="{00000000-0006-0000-0000-000054000000}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250" authorId="0" shapeId="0" xr:uid="{00000000-0006-0000-0000-000055000000}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251" authorId="0" shapeId="0" xr:uid="{00000000-0006-0000-0000-000056000000}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C260" authorId="0" shapeId="0" xr:uid="{00000000-0006-0000-0000-000057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60" authorId="0" shapeId="0" xr:uid="{00000000-0006-0000-0000-000058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61" authorId="0" shapeId="0" xr:uid="{00000000-0006-0000-0000-000059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61" authorId="0" shapeId="0" xr:uid="{00000000-0006-0000-0000-00005A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62" authorId="0" shapeId="0" xr:uid="{00000000-0006-0000-0000-00005B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62" authorId="0" shapeId="0" xr:uid="{00000000-0006-0000-0000-00005C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80" authorId="0" shapeId="0" xr:uid="{00000000-0006-0000-0000-00005D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0" authorId="0" shapeId="0" xr:uid="{00000000-0006-0000-0000-00005E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81" authorId="0" shapeId="0" xr:uid="{00000000-0006-0000-0000-00005F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1" authorId="0" shapeId="0" xr:uid="{00000000-0006-0000-0000-000060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A286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89" authorId="0" shapeId="0" xr:uid="{00000000-0006-0000-0000-000062000000}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 previsão no Projeto Básico</t>
        </r>
      </text>
    </comment>
    <comment ref="D291" authorId="0" shapeId="0" xr:uid="{00000000-0006-0000-0000-000063000000}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302" authorId="0" shapeId="0" xr:uid="{00000000-0006-0000-0000-000064000000}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7" authorId="0" shapeId="0" xr:uid="{2C46479E-FF2E-4F59-B621-973B9834116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7" authorId="0" shapeId="0" xr:uid="{A3B88B4C-D2D0-40F1-A277-92A7A106F6E9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4" authorId="0" shapeId="0" xr:uid="{1C7E7E24-618F-4C91-BDD7-2280E07BBB19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57" authorId="0" shapeId="0" xr:uid="{76BEFC1F-D663-473F-8E9C-A88BCD91AA32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59" authorId="0" shapeId="0" xr:uid="{EC63CA80-1295-4098-8CFC-CF34851AE7F8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67" authorId="0" shapeId="0" xr:uid="{486E3B46-51CB-45C8-8C1E-B2228EC1C21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69" authorId="0" shapeId="0" xr:uid="{FCE37EE1-9254-41F4-BA0C-2D9C92E5A0CA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5" authorId="0" shapeId="0" xr:uid="{0E771B96-90CC-4FA5-BB08-AF6ABC141962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76" authorId="0" shapeId="0" xr:uid="{72C4ED0D-03CB-43F4-BB6C-5F0CA3DF4401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77" authorId="0" shapeId="0" xr:uid="{940F94FF-B3E9-4E7A-B3D2-C05565F330B3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82" authorId="0" shapeId="0" xr:uid="{92E0AAFF-D0A5-422B-B1C8-8D4CF0FB93BE}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C95" authorId="0" shapeId="0" xr:uid="{35E9392B-83D0-4A47-AE33-6C9FA0B456CB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5" authorId="0" shapeId="0" xr:uid="{A5F3DF8E-06DF-4874-8014-A015ED2AFCB3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6" authorId="0" shapeId="0" xr:uid="{1E234EB8-BA07-4445-8EDB-F9CB7BA3247D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6" authorId="0" shapeId="0" xr:uid="{E8C0F58F-CE36-40FA-94D9-5AF867E5A7AE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7" authorId="0" shapeId="0" xr:uid="{F2D8161B-1C0F-4A8D-B1C8-1DE13BCB1723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7" authorId="0" shapeId="0" xr:uid="{87778C84-CEE3-4E98-AE59-DF00E33191F5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8" authorId="0" shapeId="0" xr:uid="{0CB4D6F4-39EC-4592-A887-54BACB8FCF8E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8" authorId="0" shapeId="0" xr:uid="{E4155CF6-6B0E-4750-A0DE-DC900CCDCFD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9" authorId="0" shapeId="0" xr:uid="{CA374889-42B7-49A2-923E-FB3354D28E96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9" authorId="0" shapeId="0" xr:uid="{14EFD6C9-5375-4172-9453-0E1FA3D6A7BE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0" authorId="0" shapeId="0" xr:uid="{4C9F4C2A-1566-4E7F-8647-8B53CA87CE0D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0" authorId="0" shapeId="0" xr:uid="{C32AF33B-14B0-446F-9F22-0BA44526F00E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1" authorId="0" shapeId="0" xr:uid="{7EE43EF4-7609-4D06-A061-7584067A6838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1" authorId="0" shapeId="0" xr:uid="{556049C6-BCE8-4D2A-ACFF-2EF8A25AB008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2" authorId="0" shapeId="0" xr:uid="{B4F93E4F-89FA-4142-AD7E-D4163A49C8DF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2" authorId="0" shapeId="0" xr:uid="{25FB5EA9-C9E3-44DE-87B2-D01E953715C3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3" authorId="0" shapeId="0" xr:uid="{B0ECB5CC-F28B-4F5D-BF91-CDBE84CF9843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3" authorId="0" shapeId="0" xr:uid="{C29DFA8D-46D8-4797-AAC0-441F6377026E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8" authorId="0" shapeId="0" xr:uid="{7DF5EDFA-EEE7-44DD-9EFD-B575661698B5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8" authorId="0" shapeId="0" xr:uid="{F841D532-CDCD-42D0-BA21-3631C83D44A5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109" authorId="0" shapeId="0" xr:uid="{3FF45930-C440-406E-B642-DBA8961FC178}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D122" authorId="0" shapeId="0" xr:uid="{9EA665B1-9DE1-447E-9F6E-95272653108C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23" authorId="0" shapeId="0" xr:uid="{E2700ED5-8758-4F1B-BD9D-E48923DD55AF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24" authorId="0" shapeId="0" xr:uid="{19DE4B59-A0B7-40E1-B8AF-EF5C6604873E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25" authorId="0" shapeId="0" xr:uid="{50B025FF-C79B-444E-A06D-4EC0544953D9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27" authorId="0" shapeId="0" xr:uid="{FC97A1CF-883C-4D15-A149-C4A3537CECFD}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128" authorId="0" shapeId="0" xr:uid="{018E7822-118F-4B09-BEAE-F38A83AE60C3}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C129" authorId="0" shapeId="0" xr:uid="{11BF84AF-AF9B-4FDA-AF05-A5E665F2FB36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130" authorId="0" shapeId="0" xr:uid="{033EBD4E-AE26-49F4-8E5F-FD5F4B0C3346}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3" authorId="0" shapeId="0" xr:uid="{C2D4344C-1C88-4F6C-A3CF-873126331EC1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39" authorId="0" shapeId="0" xr:uid="{3FB1CE07-8B9F-4F89-8E19-98026112B728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55" authorId="0" shapeId="0" xr:uid="{4705A6CC-6079-40FE-8743-2637FFB499CB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156" authorId="0" shapeId="0" xr:uid="{3308D1A5-26AC-4A61-A729-F839E8962AA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162" authorId="0" shapeId="0" xr:uid="{CFA56826-85D8-4F57-B4A6-58FB5B8F5A1D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165" authorId="0" shapeId="0" xr:uid="{F2061267-4236-4D22-AE6E-F45939FD7F3A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165" authorId="0" shapeId="0" xr:uid="{5EA1F0A1-CB74-49A2-AF50-199AC9B015A8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167" authorId="0" shapeId="0" xr:uid="{4BEEB6E9-5F9F-4608-8093-705DCB98C0F5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167" authorId="0" shapeId="0" xr:uid="{5BD0E1E4-D574-4AB1-B303-33896271CA27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169" authorId="0" shapeId="0" xr:uid="{1AF165A0-1820-4E48-B84E-A3155EF724F5}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169" authorId="0" shapeId="0" xr:uid="{CF1A1973-EA19-4687-8C49-55ED3ECDBDD3}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171" authorId="0" shapeId="0" xr:uid="{AFB81461-C6C1-4EAD-B7F4-A14E4167A2A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171" authorId="0" shapeId="0" xr:uid="{44F9B980-8B2E-4EB7-ACA2-ECC77069DDC2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173" authorId="0" shapeId="0" xr:uid="{640350E6-5579-4A3D-B3DF-D5AF4D31E8F9}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173" authorId="0" shapeId="0" xr:uid="{BCAF58E6-6A2D-4959-9D8A-D15883340768}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180" authorId="0" shapeId="0" xr:uid="{EBBDDF52-601A-4CFB-B82E-88A7CDBF8C5C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185" authorId="0" shapeId="0" xr:uid="{361A7F9E-23E5-4150-965B-444C2EC21C7C}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185" authorId="0" shapeId="0" xr:uid="{176889A2-A83F-4893-9715-C57E8A6C623D}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186" authorId="0" shapeId="0" xr:uid="{672AB41B-4C1B-40A6-BCF6-144A90E5B3DF}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187" authorId="0" shapeId="0" xr:uid="{3208B4DC-906F-44EE-8DCE-AC8C3132AC51}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188" authorId="0" shapeId="0" xr:uid="{0449A77C-2B49-41E5-8D39-2CF1D109A681}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D196" authorId="0" shapeId="0" xr:uid="{EB75A237-5189-4155-8300-778F840E46E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97" authorId="0" shapeId="0" xr:uid="{F713A40D-63B2-493F-84FB-6056E86F4D72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98" authorId="0" shapeId="0" xr:uid="{FE2E5142-7CA1-465A-9D75-97771312D52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99" authorId="0" shapeId="0" xr:uid="{A0884299-F736-469A-93DD-74F37892D7A3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02" authorId="0" shapeId="0" xr:uid="{A1DE5140-6B20-4F4C-85DE-C9D5D797BB9D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208" authorId="0" shapeId="0" xr:uid="{12C7BDB8-7354-4012-8273-D4F955CD94BA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19" authorId="0" shapeId="0" xr:uid="{EFCFC949-74EC-438E-A928-2B18B24116BF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220" authorId="0" shapeId="0" xr:uid="{E283DD48-8B5E-495A-A57C-8E1BBAC681BD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226" authorId="0" shapeId="0" xr:uid="{262C13EA-CDAB-471D-A4B2-F1FDD8E9497D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229" authorId="0" shapeId="0" xr:uid="{8BD2339A-1CAB-4ED6-964E-5ABECBBF9BAC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29" authorId="0" shapeId="0" xr:uid="{B319B0BD-DC6A-4541-A284-6D971FFF29D5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31" authorId="0" shapeId="0" xr:uid="{2DF04BCF-3779-4AC9-9F3A-A7F1B8A30B5C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231" authorId="0" shapeId="0" xr:uid="{FD205C79-536D-495C-A68D-D899A3A6E0FE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233" authorId="0" shapeId="0" xr:uid="{DF1AE1DB-0DC2-4C24-9D02-B5D7092CFD71}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233" authorId="0" shapeId="0" xr:uid="{3777F558-F946-4BD5-BB51-0BDB0325FE7C}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235" authorId="0" shapeId="0" xr:uid="{AEDF5BB6-D9CA-418A-B21C-A616ACC2724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35" authorId="0" shapeId="0" xr:uid="{E20466C6-4B21-4B01-89DF-5463072AE8EF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37" authorId="0" shapeId="0" xr:uid="{5997862E-AA8A-4AB5-93D5-D47BBDBB9B54}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237" authorId="0" shapeId="0" xr:uid="{EBD57B8F-A25C-454F-803E-D5BF489ACDDC}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244" authorId="0" shapeId="0" xr:uid="{7F8FCE15-8D53-4336-ACE2-C19C8C9F7D32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249" authorId="0" shapeId="0" xr:uid="{52ED4449-505C-4CD2-8514-B6CECF8121C9}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249" authorId="0" shapeId="0" xr:uid="{9B214AA8-9CB3-4323-B007-08ACFA3CFABF}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250" authorId="0" shapeId="0" xr:uid="{E6D05018-D696-4E19-92C6-DA543A34D1CE}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251" authorId="0" shapeId="0" xr:uid="{5E1C4A6F-E958-4F14-BB60-1EFA476603CF}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252" authorId="0" shapeId="0" xr:uid="{5A32C896-9826-45D9-AEBC-B76F4B7B6036}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C261" authorId="0" shapeId="0" xr:uid="{5A53D053-7D4B-43D5-BCB1-4AECE5840EA8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61" authorId="0" shapeId="0" xr:uid="{53BFD431-760B-43B3-9E26-CD71014BE10F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62" authorId="0" shapeId="0" xr:uid="{68555F6B-08DE-45B9-A66B-1FCB6ACF1D38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62" authorId="0" shapeId="0" xr:uid="{DC69B971-10EA-42E8-9DE1-5AEB9C0DB695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63" authorId="0" shapeId="0" xr:uid="{C3862E58-357D-4D30-8B0C-1271A1721501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63" authorId="0" shapeId="0" xr:uid="{665BBCB6-44B0-456F-92D2-B0E3FAE86C82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81" authorId="0" shapeId="0" xr:uid="{12DDA435-652B-4B68-88CF-F4412AC693B6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1" authorId="0" shapeId="0" xr:uid="{6CF9DA55-C73A-42EE-BE74-698A4AA94EDD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82" authorId="0" shapeId="0" xr:uid="{4B1B1B19-6D30-4946-AF8C-68C976ECFCE5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2" authorId="0" shapeId="0" xr:uid="{0D2B201D-C60A-4CBB-8B3B-6F56F19CD9C8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A287" authorId="0" shapeId="0" xr:uid="{A22E1279-E765-4D3A-A231-B7D2EB6A30E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90" authorId="0" shapeId="0" xr:uid="{8A7ADE35-8BCF-4190-B3F5-4107FB95587A}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 previsão no Projeto Básico</t>
        </r>
      </text>
    </comment>
    <comment ref="D292" authorId="0" shapeId="0" xr:uid="{36180202-D5E6-4032-9407-DF49B9E576F8}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303" authorId="0" shapeId="0" xr:uid="{8F4D3EA5-8646-4692-92BC-B6FB6B2E8624}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sharedStrings.xml><?xml version="1.0" encoding="utf-8"?>
<sst xmlns="http://schemas.openxmlformats.org/spreadsheetml/2006/main" count="924" uniqueCount="190">
  <si>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</si>
  <si>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</si>
  <si>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</si>
  <si>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</si>
  <si>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</si>
  <si>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</si>
  <si>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</si>
  <si>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</si>
  <si>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</si>
  <si>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</si>
  <si>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</si>
  <si>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</si>
  <si>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</si>
  <si>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</si>
  <si>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</si>
  <si>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</si>
  <si>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</si>
  <si>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</si>
  <si>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</si>
  <si>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</si>
  <si>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</si>
  <si>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</si>
  <si>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</si>
  <si>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</si>
  <si>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</si>
  <si>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Pá de Concha</t>
  </si>
  <si>
    <t>Calça</t>
  </si>
  <si>
    <t>Camiseta</t>
  </si>
  <si>
    <t>Boné</t>
  </si>
  <si>
    <t>Luva de proteção</t>
  </si>
  <si>
    <t>R$</t>
  </si>
  <si>
    <t>Benefícios e despesas indiretas</t>
  </si>
  <si>
    <t>Custo mensal com manutenção</t>
  </si>
  <si>
    <t>Custo (R$/mês)</t>
  </si>
  <si>
    <t>Mão-de-obra</t>
  </si>
  <si>
    <t>Quantidade</t>
  </si>
  <si>
    <t>2. Uniformes e Equipamentos de Proteção Individual</t>
  </si>
  <si>
    <t>3.1.1. Depreciação</t>
  </si>
  <si>
    <t>1. Mão-de-obra</t>
  </si>
  <si>
    <t>par</t>
  </si>
  <si>
    <t>frasco 120g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</si>
  <si>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</si>
  <si>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</si>
  <si>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</si>
  <si>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</si>
  <si>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</si>
  <si>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</si>
  <si>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Publicidade (adesivos equipamentos)</t>
  </si>
  <si>
    <t>cj</t>
  </si>
  <si>
    <t>Total de mão-de-obra (postos de trabalho)</t>
  </si>
  <si>
    <t>Publicidade (adesivos veículos)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</si>
  <si>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</si>
  <si>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</si>
  <si>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</si>
  <si>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</si>
  <si>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</si>
  <si>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</si>
  <si>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</si>
  <si>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</si>
  <si>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Botina de segurança c/ palmilha aço</t>
  </si>
  <si>
    <t>Custo de recapagem</t>
  </si>
  <si>
    <t>Recipiente térmico para água (5L)</t>
  </si>
  <si>
    <t>Total por Coletor</t>
  </si>
  <si>
    <t>4. Ferramentas e Materiais de Consumo</t>
  </si>
  <si>
    <t>5. Monitoramento da Frota</t>
  </si>
  <si>
    <t>6. Benefícios e Despesas Indiretas - BDI</t>
  </si>
  <si>
    <t>Vale Transporte</t>
  </si>
  <si>
    <t>Dias Trabalhados por mês</t>
  </si>
  <si>
    <t>dia</t>
  </si>
  <si>
    <t>Custo Mensal com Mão-de-obra (R$/mês)</t>
  </si>
  <si>
    <t>Quantitativos</t>
  </si>
  <si>
    <t>1.5. Vale Transporte</t>
  </si>
  <si>
    <t>Vida útil do chassis</t>
  </si>
  <si>
    <t>anos</t>
  </si>
  <si>
    <t>Depreciação do compactador</t>
  </si>
  <si>
    <t>Depreciação do chassis</t>
  </si>
  <si>
    <t>Custo de aquisição do chassis</t>
  </si>
  <si>
    <t>i = taxa de juros do mercado (sugere-se adotar a taxa SELIC)</t>
  </si>
  <si>
    <t>n = vida útil do bem em anos</t>
  </si>
  <si>
    <t>Custo do chassis</t>
  </si>
  <si>
    <t>3.1.2. Remuneração do Capital</t>
  </si>
  <si>
    <t>Im = investimento médio</t>
  </si>
  <si>
    <t>Investimento médio total do chassis</t>
  </si>
  <si>
    <t>Remuneração mensal de capital do chassis</t>
  </si>
  <si>
    <t>Custo de manutenção dos caminhões</t>
  </si>
  <si>
    <t>Quilometragem mensal</t>
  </si>
  <si>
    <t>R$/km rodado</t>
  </si>
  <si>
    <t>Número de recapagens por pneu</t>
  </si>
  <si>
    <t>1.6. Vale-refeição (diário)</t>
  </si>
  <si>
    <t>Licenciamento e Seguro obrigatório</t>
  </si>
  <si>
    <t>Fator de utilização</t>
  </si>
  <si>
    <t>Fator de utilização (FU)</t>
  </si>
  <si>
    <t>Custo Mensal com Uniformes e EPIs (R$/mês)</t>
  </si>
  <si>
    <t>Descrição do Item</t>
  </si>
  <si>
    <t>Orçamento Sintético</t>
  </si>
  <si>
    <t>Idade do veículo (ano)</t>
  </si>
  <si>
    <t>Idade do veículo</t>
  </si>
  <si>
    <t>Valor do veículo proposto (V0)</t>
  </si>
  <si>
    <t>Taxa de juros anual nominal</t>
  </si>
  <si>
    <t>Piso da categoria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</si>
  <si>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</si>
  <si>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</si>
  <si>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</si>
  <si>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</si>
  <si>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</si>
  <si>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</si>
  <si>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</si>
  <si>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</si>
  <si>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</si>
  <si>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</si>
  <si>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</si>
  <si>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</si>
  <si>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</si>
  <si>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</si>
  <si>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de óleo da transmissão /1.000 km</t>
  </si>
  <si>
    <t>Custo de óleo hidráulico / 1.000 km</t>
  </si>
  <si>
    <t>CUSTO MENSAL COM BDI (R$/mês)</t>
  </si>
  <si>
    <t>Fórmula de cálculo da remuneração de capital:</t>
  </si>
  <si>
    <t>Durabilidade (meses)</t>
  </si>
  <si>
    <t>Custo com consumos/km rodado</t>
  </si>
  <si>
    <t>Consumo</t>
  </si>
  <si>
    <t>Total por veículo</t>
  </si>
  <si>
    <t>Total da frota</t>
  </si>
  <si>
    <t>Depreciação Média</t>
  </si>
  <si>
    <t>PREFEITURA MUNICIPAL DE CAMPO BOM/RS</t>
  </si>
  <si>
    <t xml:space="preserve">Secretaria de Obras, Planejamento e Serviços Urbanos  </t>
  </si>
  <si>
    <t>3.1. Veículo Caminhão</t>
  </si>
  <si>
    <t>1.1.Encarregados/motoristas</t>
  </si>
  <si>
    <t>1.2. Servidores/gari</t>
  </si>
  <si>
    <t>3.2. Veiculo para Transporte</t>
  </si>
  <si>
    <t>2.1. Uniformes e EPIs para Encarredado e Servidores</t>
  </si>
  <si>
    <t>Avental</t>
  </si>
  <si>
    <t>Custo de aquisição da carroceria</t>
  </si>
  <si>
    <t>Vida útil do equipamento</t>
  </si>
  <si>
    <t>Idade do equipamento</t>
  </si>
  <si>
    <t>Custo do equipamento</t>
  </si>
  <si>
    <t>Valor do equipamento</t>
  </si>
  <si>
    <t>Investimento médio total do equipamento</t>
  </si>
  <si>
    <t xml:space="preserve">Custo do jogo de pneus </t>
  </si>
  <si>
    <r>
      <t>Custo jg. compl. + 1</t>
    </r>
    <r>
      <rPr>
        <sz val="10"/>
        <rFont val="Arial"/>
        <family val="2"/>
      </rPr>
      <t xml:space="preserve"> recap./ km rodado</t>
    </r>
  </si>
  <si>
    <t>Depreciação mensal do veículo</t>
  </si>
  <si>
    <t>Remuneração mensal de capital do veiculo</t>
  </si>
  <si>
    <t>Remuneração mensal de capital do equipamento</t>
  </si>
  <si>
    <t>Depreciação mensal veículo caminhão</t>
  </si>
  <si>
    <t>Depreciação mensal do equipamento</t>
  </si>
  <si>
    <t>3.2.3. Impostos e Seguros</t>
  </si>
  <si>
    <t>3.2.4. Consumos</t>
  </si>
  <si>
    <t>3.2.5. Manutenção</t>
  </si>
  <si>
    <t>3.2.6. Pneus</t>
  </si>
  <si>
    <t>Custo do jogo de pneus</t>
  </si>
  <si>
    <t>Roçadeiras costais 2T à gasolina</t>
  </si>
  <si>
    <t>Cal de pintura</t>
  </si>
  <si>
    <t>kg</t>
  </si>
  <si>
    <t>litros</t>
  </si>
  <si>
    <t>Carrinho  de  lixo 120 litros</t>
  </si>
  <si>
    <t>Vassoura 40 cm com cabo</t>
  </si>
  <si>
    <t>Carrinho de mão de aço cap. 50 a 60 litros pneu c/camera</t>
  </si>
  <si>
    <t>Enxada estreita *25*x23* com cabo</t>
  </si>
  <si>
    <t>Trincha/brocha 15 cm</t>
  </si>
  <si>
    <t>Saco de lixo (120 litros)</t>
  </si>
  <si>
    <t>Carretel para roçadeiras</t>
  </si>
  <si>
    <t>Perneira de raspa de couro</t>
  </si>
  <si>
    <t>Capa de chuva amarelo com refletivo</t>
  </si>
  <si>
    <t>Óculos de proteção</t>
  </si>
  <si>
    <t>Protetor facial</t>
  </si>
  <si>
    <t>Protetor auricular</t>
  </si>
  <si>
    <t>Mascara para particulas</t>
  </si>
  <si>
    <t>Foice</t>
  </si>
  <si>
    <t>Garfo</t>
  </si>
  <si>
    <t xml:space="preserve">Fio de nylon </t>
  </si>
  <si>
    <t>rolo</t>
  </si>
  <si>
    <t>Cavalete de sinalização</t>
  </si>
  <si>
    <t>Cone de sinalização</t>
  </si>
  <si>
    <t>Rede de proteção</t>
  </si>
  <si>
    <t>PREÇO TOTAL MENSAL COM A LIMPEZA URBANA</t>
  </si>
  <si>
    <t>PREÇO  ANUAL TOTAL (R$/ano)</t>
  </si>
  <si>
    <t>Vale refeição</t>
  </si>
  <si>
    <t>Dias trabalhados por mês</t>
  </si>
  <si>
    <t>Recepiente para gasolina com bico (20L)</t>
  </si>
  <si>
    <t xml:space="preserve">Planilha de Composição de Custos </t>
  </si>
  <si>
    <t>3.2. Veículo  para transporte de servidores, equipamentos, ferramentas, materiais e residuos de limpeza</t>
  </si>
  <si>
    <t>ITEM 1  - LIMPEZA , JARDINAGEM EMEF´S E EMEI´S</t>
  </si>
  <si>
    <t>ITEM 2  - LIMPEZA, JARDINAGEM  UNIDADES DE SAÚDE</t>
  </si>
  <si>
    <t>Roçadeira costal 2T à gasolina</t>
  </si>
  <si>
    <t>Gasolina/oleo 2T para roçadeira e moto poda</t>
  </si>
  <si>
    <t>Moto poda 2T à gasolina</t>
  </si>
  <si>
    <t>Gasolina/oleo 2T para roçadeiras e motopoda</t>
  </si>
  <si>
    <t>Motopoda 2T à gasolina</t>
  </si>
  <si>
    <t>Custo de manutenção do veiculo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</si>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</sst>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_-&quot;R$&quot;\ * #,##0.00_-;\-&quot;R$&quot;\ * #,##0.00_-;_-&quot;R$&quot;\ * &quot;-&quot;??_-;_-@_-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8"/>
      <color indexed="8"/>
      <name val="Times New Roman"/>
      <family val="1"/>
    </font>
    <font>
      <b/>
      <sz val="16"/>
      <color indexed="8"/>
      <name val="Times New Roman"/>
      <family val="1"/>
    </font>
    <font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217">
    <xf numFmtId="0" fontId="0" fillId="0" borderId="0" xfId="0"/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165" fontId="0" fillId="0" borderId="0" xfId="3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3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5" fontId="7" fillId="0" borderId="2" xfId="3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5" fontId="7" fillId="0" borderId="1" xfId="3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7" fillId="0" borderId="0" xfId="3" applyFont="1" applyAlignment="1">
      <alignment horizontal="center" vertical="center"/>
    </xf>
    <xf numFmtId="165" fontId="4" fillId="2" borderId="4" xfId="3" applyFont="1" applyFill="1" applyBorder="1" applyAlignment="1">
      <alignment horizontal="center" vertical="center"/>
    </xf>
    <xf numFmtId="165" fontId="4" fillId="2" borderId="4" xfId="3" applyFont="1" applyFill="1" applyBorder="1" applyAlignment="1">
      <alignment vertical="center"/>
    </xf>
    <xf numFmtId="165" fontId="4" fillId="0" borderId="0" xfId="3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5" fontId="4" fillId="0" borderId="6" xfId="3" applyFont="1" applyBorder="1" applyAlignment="1">
      <alignment vertical="center"/>
    </xf>
    <xf numFmtId="165" fontId="4" fillId="0" borderId="7" xfId="3" applyFont="1" applyBorder="1" applyAlignment="1">
      <alignment vertical="center"/>
    </xf>
    <xf numFmtId="0" fontId="7" fillId="0" borderId="6" xfId="0" applyFont="1" applyBorder="1" applyAlignment="1">
      <alignment vertical="center"/>
    </xf>
    <xf numFmtId="165" fontId="7" fillId="0" borderId="6" xfId="3" applyFont="1" applyBorder="1" applyAlignment="1">
      <alignment vertical="center"/>
    </xf>
    <xf numFmtId="165" fontId="7" fillId="0" borderId="7" xfId="3" applyFont="1" applyBorder="1" applyAlignment="1">
      <alignment vertical="center"/>
    </xf>
    <xf numFmtId="165" fontId="4" fillId="0" borderId="0" xfId="3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165" fontId="4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5" fontId="4" fillId="0" borderId="0" xfId="3" applyFont="1" applyBorder="1" applyAlignment="1">
      <alignment vertical="center"/>
    </xf>
    <xf numFmtId="165" fontId="6" fillId="0" borderId="0" xfId="3" applyFont="1" applyAlignment="1">
      <alignment vertical="center"/>
    </xf>
    <xf numFmtId="166" fontId="7" fillId="0" borderId="1" xfId="3" applyNumberFormat="1" applyFont="1" applyBorder="1" applyAlignment="1">
      <alignment vertical="center"/>
    </xf>
    <xf numFmtId="165" fontId="7" fillId="0" borderId="0" xfId="3" applyFont="1"/>
    <xf numFmtId="165" fontId="5" fillId="0" borderId="0" xfId="3" applyFont="1" applyAlignment="1">
      <alignment vertical="center"/>
    </xf>
    <xf numFmtId="165" fontId="0" fillId="0" borderId="10" xfId="3" applyFont="1" applyBorder="1" applyAlignment="1">
      <alignment vertical="center"/>
    </xf>
    <xf numFmtId="165" fontId="4" fillId="0" borderId="11" xfId="3" applyFont="1" applyBorder="1" applyAlignment="1">
      <alignment horizontal="center" vertical="center"/>
    </xf>
    <xf numFmtId="165" fontId="4" fillId="0" borderId="5" xfId="3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centerContinuous" vertical="center"/>
    </xf>
    <xf numFmtId="165" fontId="4" fillId="0" borderId="0" xfId="3" applyFont="1" applyAlignment="1">
      <alignment vertical="center"/>
    </xf>
    <xf numFmtId="165" fontId="0" fillId="0" borderId="9" xfId="0" applyNumberFormat="1" applyBorder="1" applyAlignment="1">
      <alignment vertical="center"/>
    </xf>
    <xf numFmtId="4" fontId="0" fillId="0" borderId="9" xfId="0" applyNumberFormat="1" applyBorder="1" applyAlignment="1">
      <alignment horizontal="centerContinuous" vertical="center"/>
    </xf>
    <xf numFmtId="165" fontId="0" fillId="0" borderId="9" xfId="3" applyFont="1" applyBorder="1" applyAlignment="1">
      <alignment vertical="center"/>
    </xf>
    <xf numFmtId="165" fontId="4" fillId="0" borderId="12" xfId="3" applyFont="1" applyBorder="1" applyAlignment="1">
      <alignment horizontal="right" vertical="center"/>
    </xf>
    <xf numFmtId="165" fontId="0" fillId="0" borderId="13" xfId="3" applyFont="1" applyBorder="1" applyAlignment="1">
      <alignment vertical="center"/>
    </xf>
    <xf numFmtId="165" fontId="7" fillId="0" borderId="1" xfId="3" applyFont="1" applyBorder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5" fontId="7" fillId="0" borderId="0" xfId="3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5" fontId="5" fillId="0" borderId="0" xfId="3" applyFont="1" applyBorder="1" applyAlignment="1">
      <alignment vertical="center"/>
    </xf>
    <xf numFmtId="10" fontId="0" fillId="0" borderId="14" xfId="2" applyNumberFormat="1" applyFont="1" applyBorder="1" applyAlignment="1">
      <alignment vertical="center"/>
    </xf>
    <xf numFmtId="165" fontId="7" fillId="0" borderId="0" xfId="3" applyFont="1" applyBorder="1" applyAlignment="1">
      <alignment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165" fontId="14" fillId="2" borderId="16" xfId="3" applyFont="1" applyFill="1" applyBorder="1" applyAlignment="1">
      <alignment horizontal="center" vertical="center"/>
    </xf>
    <xf numFmtId="165" fontId="14" fillId="2" borderId="17" xfId="3" applyFont="1" applyFill="1" applyBorder="1" applyAlignment="1">
      <alignment horizontal="center" vertical="center"/>
    </xf>
    <xf numFmtId="165" fontId="4" fillId="0" borderId="18" xfId="3" applyFont="1" applyBorder="1" applyAlignment="1">
      <alignment horizontal="center" vertical="center"/>
    </xf>
    <xf numFmtId="165" fontId="2" fillId="0" borderId="13" xfId="3" applyFont="1" applyBorder="1" applyAlignment="1">
      <alignment horizontal="left" vertical="center"/>
    </xf>
    <xf numFmtId="165" fontId="7" fillId="0" borderId="9" xfId="3" applyFont="1" applyBorder="1" applyAlignment="1">
      <alignment vertical="center"/>
    </xf>
    <xf numFmtId="166" fontId="7" fillId="0" borderId="0" xfId="3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19" xfId="3" applyNumberFormat="1" applyFont="1" applyBorder="1" applyAlignment="1">
      <alignment horizontal="center" vertical="center"/>
    </xf>
    <xf numFmtId="165" fontId="4" fillId="0" borderId="25" xfId="3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165" fontId="7" fillId="0" borderId="10" xfId="3" applyFont="1" applyBorder="1" applyAlignment="1">
      <alignment vertical="center"/>
    </xf>
    <xf numFmtId="0" fontId="0" fillId="0" borderId="10" xfId="0" applyBorder="1" applyAlignment="1">
      <alignment vertical="center"/>
    </xf>
    <xf numFmtId="1" fontId="7" fillId="0" borderId="11" xfId="3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6" xfId="0" applyBorder="1" applyAlignment="1">
      <alignment vertical="center"/>
    </xf>
    <xf numFmtId="1" fontId="4" fillId="0" borderId="28" xfId="3" applyNumberFormat="1" applyFont="1" applyBorder="1" applyAlignment="1">
      <alignment horizontal="center" vertical="center"/>
    </xf>
    <xf numFmtId="165" fontId="13" fillId="0" borderId="1" xfId="3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5" fontId="4" fillId="2" borderId="4" xfId="3" applyNumberFormat="1" applyFont="1" applyFill="1" applyBorder="1" applyAlignment="1">
      <alignment horizontal="center" vertical="center"/>
    </xf>
    <xf numFmtId="165" fontId="7" fillId="0" borderId="1" xfId="3" applyFont="1" applyFill="1" applyBorder="1" applyAlignment="1">
      <alignment horizontal="center" vertical="center"/>
    </xf>
    <xf numFmtId="165" fontId="12" fillId="0" borderId="0" xfId="3" applyFont="1" applyAlignment="1">
      <alignment vertical="center"/>
    </xf>
    <xf numFmtId="43" fontId="7" fillId="0" borderId="0" xfId="0" applyNumberFormat="1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165" fontId="7" fillId="3" borderId="2" xfId="3" applyFont="1" applyFill="1" applyBorder="1" applyAlignment="1">
      <alignment horizontal="center" vertical="center"/>
    </xf>
    <xf numFmtId="165" fontId="7" fillId="3" borderId="1" xfId="3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165" fontId="7" fillId="3" borderId="0" xfId="3" applyFont="1" applyFill="1" applyAlignment="1">
      <alignment vertical="center"/>
    </xf>
    <xf numFmtId="0" fontId="7" fillId="0" borderId="0" xfId="0" applyFont="1" applyAlignment="1">
      <alignment horizontal="right" vertical="center"/>
    </xf>
    <xf numFmtId="166" fontId="7" fillId="0" borderId="1" xfId="3" applyNumberFormat="1" applyFont="1" applyBorder="1" applyAlignment="1">
      <alignment horizontal="center" vertical="center"/>
    </xf>
    <xf numFmtId="165" fontId="7" fillId="3" borderId="1" xfId="3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/>
    </xf>
    <xf numFmtId="167" fontId="7" fillId="3" borderId="2" xfId="3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13" fontId="7" fillId="3" borderId="1" xfId="0" applyNumberFormat="1" applyFont="1" applyFill="1" applyBorder="1" applyAlignment="1">
      <alignment horizontal="center" vertical="center"/>
    </xf>
    <xf numFmtId="166" fontId="7" fillId="0" borderId="1" xfId="3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5" fontId="4" fillId="0" borderId="1" xfId="3" applyFont="1" applyBorder="1" applyAlignment="1">
      <alignment horizontal="center" vertical="center"/>
    </xf>
    <xf numFmtId="165" fontId="7" fillId="0" borderId="2" xfId="3" applyFont="1" applyFill="1" applyBorder="1" applyAlignment="1">
      <alignment horizontal="center" vertical="center"/>
    </xf>
    <xf numFmtId="0" fontId="9" fillId="0" borderId="0" xfId="1" applyAlignment="1" applyProtection="1">
      <alignment vertical="center"/>
    </xf>
    <xf numFmtId="0" fontId="4" fillId="0" borderId="0" xfId="0" applyFont="1"/>
    <xf numFmtId="0" fontId="14" fillId="2" borderId="29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165" fontId="14" fillId="2" borderId="30" xfId="3" applyFont="1" applyFill="1" applyBorder="1" applyAlignment="1">
      <alignment horizontal="center" vertical="center"/>
    </xf>
    <xf numFmtId="165" fontId="7" fillId="0" borderId="0" xfId="3" applyFont="1" applyFill="1" applyAlignment="1">
      <alignment vertical="center"/>
    </xf>
    <xf numFmtId="165" fontId="4" fillId="0" borderId="1" xfId="3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vertical="center"/>
    </xf>
    <xf numFmtId="164" fontId="4" fillId="0" borderId="31" xfId="0" applyNumberFormat="1" applyFont="1" applyBorder="1" applyAlignment="1">
      <alignment vertical="center"/>
    </xf>
    <xf numFmtId="165" fontId="4" fillId="0" borderId="32" xfId="3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3" applyFont="1" applyAlignment="1">
      <alignment horizontal="center" vertical="center"/>
    </xf>
    <xf numFmtId="165" fontId="4" fillId="0" borderId="3" xfId="3" applyFont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65" fontId="7" fillId="0" borderId="0" xfId="3" applyFont="1" applyAlignment="1">
      <alignment horizontal="right" vertical="center"/>
    </xf>
    <xf numFmtId="165" fontId="4" fillId="2" borderId="7" xfId="3" applyFont="1" applyFill="1" applyBorder="1" applyAlignment="1">
      <alignment horizontal="center" vertical="center"/>
    </xf>
    <xf numFmtId="165" fontId="4" fillId="0" borderId="13" xfId="3" applyFont="1" applyBorder="1" applyAlignment="1">
      <alignment vertical="center"/>
    </xf>
    <xf numFmtId="165" fontId="4" fillId="0" borderId="9" xfId="0" applyNumberFormat="1" applyFont="1" applyBorder="1" applyAlignment="1">
      <alignment vertical="center"/>
    </xf>
    <xf numFmtId="165" fontId="4" fillId="0" borderId="9" xfId="3" applyFont="1" applyBorder="1" applyAlignment="1">
      <alignment vertical="center"/>
    </xf>
    <xf numFmtId="10" fontId="4" fillId="0" borderId="14" xfId="2" applyNumberFormat="1" applyFont="1" applyBorder="1" applyAlignment="1">
      <alignment vertical="center"/>
    </xf>
    <xf numFmtId="165" fontId="4" fillId="0" borderId="34" xfId="3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165" fontId="7" fillId="0" borderId="35" xfId="3" applyFont="1" applyBorder="1" applyAlignment="1">
      <alignment vertical="center"/>
    </xf>
    <xf numFmtId="165" fontId="4" fillId="0" borderId="13" xfId="3" applyFont="1" applyBorder="1" applyAlignment="1">
      <alignment horizontal="left" vertical="center"/>
    </xf>
    <xf numFmtId="4" fontId="4" fillId="0" borderId="9" xfId="0" applyNumberFormat="1" applyFont="1" applyBorder="1" applyAlignment="1">
      <alignment horizontal="centerContinuous" vertical="center"/>
    </xf>
    <xf numFmtId="165" fontId="7" fillId="4" borderId="1" xfId="3" applyFont="1" applyFill="1" applyBorder="1" applyAlignment="1">
      <alignment horizontal="center" vertical="center"/>
    </xf>
    <xf numFmtId="165" fontId="7" fillId="4" borderId="1" xfId="3" applyFont="1" applyFill="1" applyBorder="1" applyAlignment="1">
      <alignment vertical="center"/>
    </xf>
    <xf numFmtId="9" fontId="4" fillId="0" borderId="17" xfId="2" applyFont="1" applyBorder="1" applyAlignment="1">
      <alignment vertical="center"/>
    </xf>
    <xf numFmtId="10" fontId="7" fillId="0" borderId="14" xfId="2" applyNumberFormat="1" applyFont="1" applyBorder="1" applyAlignment="1">
      <alignment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0" fillId="0" borderId="34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5" fontId="0" fillId="0" borderId="0" xfId="3" applyFont="1" applyFill="1" applyBorder="1" applyAlignment="1">
      <alignment vertical="center"/>
    </xf>
    <xf numFmtId="165" fontId="0" fillId="0" borderId="35" xfId="3" applyFont="1" applyFill="1" applyBorder="1" applyAlignment="1">
      <alignment vertical="center"/>
    </xf>
    <xf numFmtId="0" fontId="7" fillId="0" borderId="1" xfId="0" applyNumberFormat="1" applyFont="1" applyBorder="1" applyAlignment="1">
      <alignment horizontal="center" vertical="center"/>
    </xf>
    <xf numFmtId="166" fontId="4" fillId="0" borderId="0" xfId="3" applyNumberFormat="1" applyFont="1" applyBorder="1" applyAlignment="1">
      <alignment horizontal="center" vertical="center"/>
    </xf>
    <xf numFmtId="2" fontId="19" fillId="5" borderId="1" xfId="0" applyNumberFormat="1" applyFont="1" applyFill="1" applyBorder="1" applyAlignment="1">
      <alignment horizontal="right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2" fontId="19" fillId="5" borderId="33" xfId="0" applyNumberFormat="1" applyFont="1" applyFill="1" applyBorder="1" applyAlignment="1">
      <alignment horizontal="right" vertical="center"/>
    </xf>
    <xf numFmtId="0" fontId="7" fillId="0" borderId="41" xfId="0" applyFont="1" applyBorder="1"/>
    <xf numFmtId="0" fontId="20" fillId="0" borderId="41" xfId="0" applyFont="1" applyBorder="1" applyAlignment="1">
      <alignment horizontal="justify"/>
    </xf>
    <xf numFmtId="0" fontId="20" fillId="0" borderId="42" xfId="0" applyFont="1" applyBorder="1" applyAlignment="1">
      <alignment horizontal="justify"/>
    </xf>
    <xf numFmtId="0" fontId="18" fillId="7" borderId="40" xfId="0" applyFont="1" applyFill="1" applyBorder="1" applyAlignment="1">
      <alignment horizontal="center"/>
    </xf>
    <xf numFmtId="1" fontId="7" fillId="0" borderId="0" xfId="3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168" fontId="4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4" fillId="0" borderId="33" xfId="0" applyNumberFormat="1" applyFont="1" applyBorder="1" applyAlignment="1">
      <alignment vertical="center"/>
    </xf>
    <xf numFmtId="165" fontId="4" fillId="0" borderId="10" xfId="3" applyFont="1" applyBorder="1" applyAlignment="1">
      <alignment vertical="center"/>
    </xf>
    <xf numFmtId="165" fontId="4" fillId="0" borderId="5" xfId="3" applyFont="1" applyBorder="1" applyAlignment="1">
      <alignment vertical="center"/>
    </xf>
    <xf numFmtId="9" fontId="4" fillId="3" borderId="7" xfId="2" applyFont="1" applyFill="1" applyBorder="1" applyAlignment="1">
      <alignment vertical="center"/>
    </xf>
    <xf numFmtId="0" fontId="23" fillId="0" borderId="20" xfId="0" applyFont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 wrapText="1"/>
    </xf>
    <xf numFmtId="167" fontId="7" fillId="0" borderId="1" xfId="3" applyNumberFormat="1" applyFont="1" applyBorder="1" applyAlignment="1">
      <alignment horizontal="center" vertical="center"/>
    </xf>
    <xf numFmtId="166" fontId="4" fillId="0" borderId="1" xfId="3" applyNumberFormat="1" applyFont="1" applyBorder="1" applyAlignment="1">
      <alignment horizontal="center" vertical="center"/>
    </xf>
    <xf numFmtId="167" fontId="4" fillId="0" borderId="1" xfId="3" applyNumberFormat="1" applyFont="1" applyBorder="1" applyAlignment="1">
      <alignment horizontal="center" vertical="center"/>
    </xf>
    <xf numFmtId="167" fontId="7" fillId="0" borderId="2" xfId="3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43" xfId="0" applyFont="1" applyBorder="1" applyAlignment="1">
      <alignment vertical="center"/>
    </xf>
    <xf numFmtId="0" fontId="4" fillId="0" borderId="43" xfId="0" applyFont="1" applyBorder="1" applyAlignment="1">
      <alignment horizontal="center" vertical="center"/>
    </xf>
    <xf numFmtId="165" fontId="4" fillId="0" borderId="43" xfId="3" applyFont="1" applyBorder="1" applyAlignment="1">
      <alignment horizontal="center" vertical="center"/>
    </xf>
    <xf numFmtId="165" fontId="4" fillId="0" borderId="43" xfId="3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5" fontId="26" fillId="0" borderId="0" xfId="3" applyFont="1" applyAlignment="1">
      <alignment vertical="center"/>
    </xf>
    <xf numFmtId="165" fontId="2" fillId="3" borderId="2" xfId="3" applyFont="1" applyFill="1" applyBorder="1" applyAlignment="1">
      <alignment horizontal="center" vertical="center"/>
    </xf>
    <xf numFmtId="1" fontId="7" fillId="0" borderId="1" xfId="3" applyNumberFormat="1" applyFont="1" applyBorder="1" applyAlignment="1">
      <alignment horizontal="center" vertical="center"/>
    </xf>
    <xf numFmtId="165" fontId="7" fillId="0" borderId="8" xfId="3" applyFont="1" applyBorder="1" applyAlignment="1">
      <alignment vertical="center"/>
    </xf>
    <xf numFmtId="165" fontId="2" fillId="0" borderId="8" xfId="3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165" fontId="7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5" fontId="4" fillId="0" borderId="13" xfId="3" applyFont="1" applyBorder="1" applyAlignment="1">
      <alignment horizontal="left" vertical="center"/>
    </xf>
    <xf numFmtId="165" fontId="2" fillId="3" borderId="1" xfId="3" applyNumberFormat="1" applyFont="1" applyFill="1" applyBorder="1" applyAlignment="1">
      <alignment horizontal="center" vertical="center"/>
    </xf>
    <xf numFmtId="9" fontId="4" fillId="8" borderId="0" xfId="2" applyFont="1" applyFill="1" applyBorder="1" applyAlignment="1">
      <alignment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165" fontId="4" fillId="0" borderId="40" xfId="3" applyFont="1" applyBorder="1" applyAlignment="1">
      <alignment horizontal="center" vertical="center"/>
    </xf>
    <xf numFmtId="165" fontId="4" fillId="0" borderId="42" xfId="3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9" fontId="25" fillId="0" borderId="22" xfId="4" applyFont="1" applyFill="1" applyBorder="1" applyAlignment="1">
      <alignment horizontal="center"/>
    </xf>
    <xf numFmtId="169" fontId="25" fillId="0" borderId="23" xfId="4" applyFont="1" applyFill="1" applyBorder="1" applyAlignment="1">
      <alignment horizontal="center"/>
    </xf>
    <xf numFmtId="169" fontId="25" fillId="0" borderId="24" xfId="4" applyFont="1" applyFill="1" applyBorder="1" applyAlignment="1">
      <alignment horizontal="center"/>
    </xf>
    <xf numFmtId="169" fontId="25" fillId="0" borderId="34" xfId="4" applyFont="1" applyFill="1" applyBorder="1" applyAlignment="1">
      <alignment horizontal="center" vertical="center"/>
    </xf>
    <xf numFmtId="169" fontId="25" fillId="0" borderId="0" xfId="4" applyFont="1" applyFill="1" applyBorder="1" applyAlignment="1">
      <alignment horizontal="center" vertical="center"/>
    </xf>
    <xf numFmtId="169" fontId="25" fillId="0" borderId="35" xfId="4" applyFont="1" applyFill="1" applyBorder="1" applyAlignment="1">
      <alignment horizontal="center" vertical="center"/>
    </xf>
    <xf numFmtId="169" fontId="24" fillId="0" borderId="25" xfId="4" applyFont="1" applyFill="1" applyBorder="1" applyAlignment="1">
      <alignment horizontal="center"/>
    </xf>
    <xf numFmtId="169" fontId="24" fillId="0" borderId="26" xfId="4" applyFont="1" applyFill="1" applyBorder="1" applyAlignment="1">
      <alignment horizontal="center"/>
    </xf>
    <xf numFmtId="169" fontId="24" fillId="0" borderId="27" xfId="4" applyFont="1" applyFill="1" applyBorder="1" applyAlignment="1">
      <alignment horizont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65" fontId="4" fillId="0" borderId="13" xfId="3" applyFont="1" applyBorder="1" applyAlignment="1">
      <alignment horizontal="left" vertical="center"/>
    </xf>
    <xf numFmtId="165" fontId="4" fillId="0" borderId="9" xfId="3" applyFont="1" applyBorder="1" applyAlignment="1">
      <alignment horizontal="left" vertical="center"/>
    </xf>
    <xf numFmtId="0" fontId="18" fillId="6" borderId="22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/>
    </xf>
    <xf numFmtId="0" fontId="18" fillId="6" borderId="24" xfId="0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8" fillId="6" borderId="39" xfId="0" applyFont="1" applyFill="1" applyBorder="1" applyAlignment="1">
      <alignment horizontal="center" vertical="center"/>
    </xf>
    <xf numFmtId="165" fontId="4" fillId="0" borderId="5" xfId="3" applyFont="1" applyBorder="1" applyAlignment="1">
      <alignment horizontal="center" vertical="center"/>
    </xf>
    <xf numFmtId="165" fontId="4" fillId="0" borderId="6" xfId="3" applyFont="1" applyBorder="1" applyAlignment="1">
      <alignment horizontal="center" vertical="center"/>
    </xf>
    <xf numFmtId="165" fontId="4" fillId="0" borderId="37" xfId="3" applyFont="1" applyBorder="1" applyAlignment="1">
      <alignment horizontal="center" vertical="center"/>
    </xf>
    <xf numFmtId="165" fontId="5" fillId="6" borderId="5" xfId="3" applyFont="1" applyFill="1" applyBorder="1" applyAlignment="1">
      <alignment horizontal="center" vertical="center"/>
    </xf>
    <xf numFmtId="165" fontId="5" fillId="6" borderId="6" xfId="3" applyFont="1" applyFill="1" applyBorder="1" applyAlignment="1">
      <alignment horizontal="center" vertical="center"/>
    </xf>
    <xf numFmtId="165" fontId="5" fillId="6" borderId="7" xfId="3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</cellXfs>
  <cellStyles count="5">
    <cellStyle name="Hiperlink" xfId="1" builtinId="8"/>
    <cellStyle name="Moeda 3 2" xfId="4" xr:uid="{00000000-0005-0000-0000-000001000000}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5"/>
  <sheetViews>
    <sheetView tabSelected="1" view="pageBreakPreview" topLeftCell="A292" zoomScaleNormal="100" zoomScaleSheetLayoutView="100" workbookViewId="0">
      <selection activeCell="G267" sqref="G267"/>
    </sheetView>
  </sheetViews>
  <sheetFormatPr defaultRowHeight="12.75" x14ac:dyDescent="0.2"/>
  <cols>
    <col min="1" max="1" width="49.5703125" style="8" customWidth="1"/>
    <col min="2" max="2" width="16" style="8" bestFit="1" customWidth="1"/>
    <col min="3" max="3" width="11.85546875" style="8" customWidth="1"/>
    <col min="4" max="4" width="14.7109375" style="9" customWidth="1"/>
    <col min="5" max="5" width="15.42578125" style="9" customWidth="1"/>
    <col min="6" max="6" width="13.28515625" style="9" customWidth="1"/>
    <col min="7" max="7" width="28.140625" style="9" customWidth="1"/>
    <col min="8" max="8" width="9.140625" style="8"/>
    <col min="9" max="9" width="14.5703125" style="8" customWidth="1"/>
    <col min="10" max="10" width="13.42578125" style="8" customWidth="1"/>
    <col min="11" max="16384" width="9.140625" style="8"/>
  </cols>
  <sheetData>
    <row r="1" spans="1:7" ht="20.25" x14ac:dyDescent="0.3">
      <c r="A1" s="190"/>
      <c r="B1" s="191"/>
      <c r="C1" s="191"/>
      <c r="D1" s="191"/>
      <c r="E1" s="191"/>
      <c r="F1" s="192"/>
      <c r="G1" s="169"/>
    </row>
    <row r="2" spans="1:7" ht="23.25" customHeight="1" x14ac:dyDescent="0.2">
      <c r="A2" s="193" t="s">
        <v>124</v>
      </c>
      <c r="B2" s="194"/>
      <c r="C2" s="194"/>
      <c r="D2" s="194"/>
      <c r="E2" s="194"/>
      <c r="F2" s="195"/>
    </row>
    <row r="3" spans="1:7" ht="23.25" customHeight="1" thickBot="1" x14ac:dyDescent="0.4">
      <c r="A3" s="196" t="s">
        <v>125</v>
      </c>
      <c r="B3" s="197"/>
      <c r="C3" s="197"/>
      <c r="D3" s="197"/>
      <c r="E3" s="197"/>
      <c r="F3" s="198"/>
    </row>
    <row r="4" spans="1:7" s="7" customFormat="1" ht="18" x14ac:dyDescent="0.2">
      <c r="A4" s="203" t="s">
        <v>181</v>
      </c>
      <c r="B4" s="204"/>
      <c r="C4" s="204"/>
      <c r="D4" s="204"/>
      <c r="E4" s="204"/>
      <c r="F4" s="205"/>
      <c r="G4" s="34"/>
    </row>
    <row r="5" spans="1:7" s="7" customFormat="1" ht="21.75" customHeight="1" x14ac:dyDescent="0.2">
      <c r="A5" s="206" t="s">
        <v>179</v>
      </c>
      <c r="B5" s="207"/>
      <c r="C5" s="207"/>
      <c r="D5" s="207"/>
      <c r="E5" s="207"/>
      <c r="F5" s="208"/>
      <c r="G5" s="34"/>
    </row>
    <row r="6" spans="1:7" s="4" customFormat="1" ht="10.9" customHeight="1" thickBot="1" x14ac:dyDescent="0.25">
      <c r="A6" s="132"/>
      <c r="B6" s="133"/>
      <c r="C6" s="133"/>
      <c r="D6" s="134"/>
      <c r="E6" s="134"/>
      <c r="F6" s="135"/>
      <c r="G6" s="5"/>
    </row>
    <row r="7" spans="1:7" s="4" customFormat="1" ht="15.75" customHeight="1" thickBot="1" x14ac:dyDescent="0.25">
      <c r="A7" s="212" t="s">
        <v>94</v>
      </c>
      <c r="B7" s="213"/>
      <c r="C7" s="213"/>
      <c r="D7" s="213"/>
      <c r="E7" s="213"/>
      <c r="F7" s="214"/>
      <c r="G7" s="5"/>
    </row>
    <row r="8" spans="1:7" s="4" customFormat="1" ht="15.75" customHeight="1" x14ac:dyDescent="0.2">
      <c r="A8" s="62" t="s">
        <v>93</v>
      </c>
      <c r="B8" s="38"/>
      <c r="C8" s="38"/>
      <c r="D8" s="151"/>
      <c r="E8" s="110" t="s">
        <v>33</v>
      </c>
      <c r="F8" s="39" t="s">
        <v>1</v>
      </c>
      <c r="G8" s="5"/>
    </row>
    <row r="9" spans="1:7" s="10" customFormat="1" ht="15.75" customHeight="1" x14ac:dyDescent="0.2">
      <c r="A9" s="118" t="str">
        <f>A49</f>
        <v>1. Mão-de-obra</v>
      </c>
      <c r="B9" s="119"/>
      <c r="C9" s="120"/>
      <c r="D9" s="120"/>
      <c r="E9" s="148">
        <f>+F87</f>
        <v>21426.704969723076</v>
      </c>
      <c r="F9" s="121">
        <f t="shared" ref="F9:F32" si="0">IFERROR(E9/$E$33,0)</f>
        <v>0.6665719915761219</v>
      </c>
      <c r="G9" s="42"/>
    </row>
    <row r="10" spans="1:7" s="4" customFormat="1" ht="15.75" customHeight="1" x14ac:dyDescent="0.2">
      <c r="A10" s="47" t="s">
        <v>127</v>
      </c>
      <c r="B10" s="43"/>
      <c r="C10" s="45"/>
      <c r="D10" s="45"/>
      <c r="E10" s="149">
        <f>F59</f>
        <v>5769.9726528000001</v>
      </c>
      <c r="F10" s="56">
        <f t="shared" si="0"/>
        <v>0.17950040232277314</v>
      </c>
      <c r="G10" s="5"/>
    </row>
    <row r="11" spans="1:7" s="4" customFormat="1" ht="15.75" customHeight="1" x14ac:dyDescent="0.2">
      <c r="A11" s="47" t="s">
        <v>128</v>
      </c>
      <c r="B11" s="43"/>
      <c r="C11" s="45"/>
      <c r="D11" s="45"/>
      <c r="E11" s="149">
        <f>F69</f>
        <v>13538.853239999999</v>
      </c>
      <c r="F11" s="56">
        <f t="shared" si="0"/>
        <v>0.42118563636339956</v>
      </c>
      <c r="G11" s="5"/>
    </row>
    <row r="12" spans="1:7" s="4" customFormat="1" ht="15.75" customHeight="1" x14ac:dyDescent="0.2">
      <c r="A12" s="47" t="str">
        <f>A72</f>
        <v>1.5. Vale Transporte</v>
      </c>
      <c r="B12" s="43"/>
      <c r="C12" s="45"/>
      <c r="D12" s="45"/>
      <c r="E12" s="149">
        <f>F77</f>
        <v>278.45907692307691</v>
      </c>
      <c r="F12" s="56">
        <f t="shared" si="0"/>
        <v>8.6626955352838274E-3</v>
      </c>
      <c r="G12" s="5"/>
    </row>
    <row r="13" spans="1:7" s="4" customFormat="1" ht="15.75" customHeight="1" x14ac:dyDescent="0.2">
      <c r="A13" s="47" t="str">
        <f>A79</f>
        <v>1.6. Vale-refeição (diário)</v>
      </c>
      <c r="B13" s="43"/>
      <c r="C13" s="45"/>
      <c r="D13" s="45"/>
      <c r="E13" s="149">
        <f>F84</f>
        <v>1839.42</v>
      </c>
      <c r="F13" s="56">
        <f t="shared" si="0"/>
        <v>5.7223257354665324E-2</v>
      </c>
      <c r="G13" s="5"/>
    </row>
    <row r="14" spans="1:7" s="10" customFormat="1" ht="15.75" customHeight="1" x14ac:dyDescent="0.2">
      <c r="A14" s="201" t="str">
        <f>A89</f>
        <v>2. Uniformes e Equipamentos de Proteção Individual</v>
      </c>
      <c r="B14" s="202"/>
      <c r="C14" s="202"/>
      <c r="D14" s="120"/>
      <c r="E14" s="148">
        <f>+F113</f>
        <v>540</v>
      </c>
      <c r="F14" s="121">
        <f t="shared" si="0"/>
        <v>1.6799077411096583E-2</v>
      </c>
      <c r="G14" s="42"/>
    </row>
    <row r="15" spans="1:7" s="10" customFormat="1" ht="15.75" customHeight="1" x14ac:dyDescent="0.2">
      <c r="A15" s="125" t="str">
        <f>A115</f>
        <v>3. Veículos e Equipamentos</v>
      </c>
      <c r="B15" s="126"/>
      <c r="C15" s="120"/>
      <c r="D15" s="120"/>
      <c r="E15" s="148">
        <f>+F255</f>
        <v>3508.9448020833333</v>
      </c>
      <c r="F15" s="121">
        <f t="shared" si="0"/>
        <v>0.10916117659530165</v>
      </c>
      <c r="G15" s="42"/>
    </row>
    <row r="16" spans="1:7" s="4" customFormat="1" ht="15.75" customHeight="1" x14ac:dyDescent="0.2">
      <c r="A16" s="63" t="str">
        <f>A117</f>
        <v>3.1. Veículo Caminhão</v>
      </c>
      <c r="B16" s="44"/>
      <c r="C16" s="45"/>
      <c r="D16" s="45"/>
      <c r="E16" s="149">
        <f>SUM(E17:E22)</f>
        <v>0</v>
      </c>
      <c r="F16" s="130">
        <f>IFERROR(E16/$E$33,0)</f>
        <v>0</v>
      </c>
      <c r="G16" s="5"/>
    </row>
    <row r="17" spans="1:7" s="4" customFormat="1" ht="15.75" customHeight="1" x14ac:dyDescent="0.2">
      <c r="A17" s="63" t="str">
        <f>A119</f>
        <v>3.1.1. Depreciação</v>
      </c>
      <c r="B17" s="44"/>
      <c r="C17" s="45"/>
      <c r="D17" s="45"/>
      <c r="E17" s="149">
        <f>F133</f>
        <v>0</v>
      </c>
      <c r="F17" s="130">
        <f t="shared" si="0"/>
        <v>0</v>
      </c>
      <c r="G17" s="5"/>
    </row>
    <row r="18" spans="1:7" s="4" customFormat="1" ht="15.75" customHeight="1" x14ac:dyDescent="0.2">
      <c r="A18" s="63" t="str">
        <f>A135</f>
        <v>3.1.2. Remuneração do Capital</v>
      </c>
      <c r="B18" s="44"/>
      <c r="C18" s="45"/>
      <c r="D18" s="45"/>
      <c r="E18" s="149">
        <f>F149</f>
        <v>0</v>
      </c>
      <c r="F18" s="130">
        <f t="shared" si="0"/>
        <v>0</v>
      </c>
      <c r="G18" s="5"/>
    </row>
    <row r="19" spans="1:7" s="4" customFormat="1" ht="15.75" customHeight="1" x14ac:dyDescent="0.2">
      <c r="A19" s="63" t="str">
        <f>A151</f>
        <v>3.1.3. Impostos e Seguros</v>
      </c>
      <c r="B19" s="44"/>
      <c r="C19" s="45"/>
      <c r="D19" s="45"/>
      <c r="E19" s="149">
        <f>F157</f>
        <v>0</v>
      </c>
      <c r="F19" s="130">
        <f t="shared" si="0"/>
        <v>0</v>
      </c>
      <c r="G19" s="5"/>
    </row>
    <row r="20" spans="1:7" s="4" customFormat="1" ht="15.75" customHeight="1" x14ac:dyDescent="0.2">
      <c r="A20" s="63" t="str">
        <f>A159</f>
        <v>3.1.4. Consumos</v>
      </c>
      <c r="B20" s="44"/>
      <c r="C20" s="45"/>
      <c r="D20" s="45"/>
      <c r="E20" s="149">
        <f>F175</f>
        <v>0</v>
      </c>
      <c r="F20" s="130">
        <f t="shared" si="0"/>
        <v>0</v>
      </c>
      <c r="G20" s="5"/>
    </row>
    <row r="21" spans="1:7" s="4" customFormat="1" ht="15.75" customHeight="1" x14ac:dyDescent="0.2">
      <c r="A21" s="63" t="str">
        <f>A177</f>
        <v>3.1.5. Manutenção</v>
      </c>
      <c r="B21" s="44"/>
      <c r="C21" s="45"/>
      <c r="D21" s="45"/>
      <c r="E21" s="149">
        <f>F180</f>
        <v>0</v>
      </c>
      <c r="F21" s="130">
        <f t="shared" si="0"/>
        <v>0</v>
      </c>
      <c r="G21" s="5"/>
    </row>
    <row r="22" spans="1:7" s="4" customFormat="1" ht="15.75" customHeight="1" x14ac:dyDescent="0.2">
      <c r="A22" s="63" t="str">
        <f>A182</f>
        <v>3.1.6. Pneus</v>
      </c>
      <c r="B22" s="44"/>
      <c r="C22" s="45"/>
      <c r="D22" s="45"/>
      <c r="E22" s="149">
        <f>F189</f>
        <v>0</v>
      </c>
      <c r="F22" s="130">
        <f t="shared" si="0"/>
        <v>0</v>
      </c>
      <c r="G22" s="5"/>
    </row>
    <row r="23" spans="1:7" s="4" customFormat="1" ht="15.75" customHeight="1" x14ac:dyDescent="0.2">
      <c r="A23" s="63" t="str">
        <f>A191</f>
        <v>3.2. Veículo  para transporte de servidores, equipamentos, ferramentas, materiais e residuos de limpeza</v>
      </c>
      <c r="B23" s="44"/>
      <c r="C23" s="45"/>
      <c r="D23" s="45"/>
      <c r="E23" s="149">
        <f>E24+E25+E26+E27+E28+E29</f>
        <v>3508.9448020833333</v>
      </c>
      <c r="F23" s="130">
        <f>E23/E33</f>
        <v>0.10916117659530165</v>
      </c>
      <c r="G23" s="5"/>
    </row>
    <row r="24" spans="1:7" s="4" customFormat="1" ht="15.75" customHeight="1" x14ac:dyDescent="0.2">
      <c r="A24" s="63" t="str">
        <f>A193</f>
        <v>3.1.1. Depreciação</v>
      </c>
      <c r="B24" s="44"/>
      <c r="C24" s="45"/>
      <c r="D24" s="45"/>
      <c r="E24" s="149">
        <f>F202</f>
        <v>787.59</v>
      </c>
      <c r="F24" s="130">
        <f>E24/E33</f>
        <v>2.4501454404084366E-2</v>
      </c>
      <c r="G24" s="5"/>
    </row>
    <row r="25" spans="1:7" s="4" customFormat="1" ht="15.75" customHeight="1" x14ac:dyDescent="0.2">
      <c r="A25" s="63" t="str">
        <f>A204</f>
        <v>3.1.2. Remuneração do Capital</v>
      </c>
      <c r="B25" s="44"/>
      <c r="C25" s="45"/>
      <c r="D25" s="45"/>
      <c r="E25" s="149">
        <f>F213</f>
        <v>1131.4401354166666</v>
      </c>
      <c r="F25" s="130">
        <f>E25/E33</f>
        <v>3.5198426705344781E-2</v>
      </c>
      <c r="G25" s="5"/>
    </row>
    <row r="26" spans="1:7" s="4" customFormat="1" ht="15.75" customHeight="1" x14ac:dyDescent="0.2">
      <c r="A26" s="63" t="str">
        <f>A215</f>
        <v>3.2.3. Impostos e Seguros</v>
      </c>
      <c r="B26" s="44"/>
      <c r="C26" s="45"/>
      <c r="D26" s="45"/>
      <c r="E26" s="149">
        <f>F221</f>
        <v>382.5</v>
      </c>
      <c r="F26" s="130">
        <f>E26/E33</f>
        <v>1.1899346499526746E-2</v>
      </c>
      <c r="G26" s="5"/>
    </row>
    <row r="27" spans="1:7" s="4" customFormat="1" ht="15.75" customHeight="1" x14ac:dyDescent="0.2">
      <c r="A27" s="63" t="str">
        <f>A223</f>
        <v>3.2.4. Consumos</v>
      </c>
      <c r="B27" s="44"/>
      <c r="C27" s="45"/>
      <c r="D27" s="45"/>
      <c r="E27" s="149">
        <f>F239</f>
        <v>767.41466666666668</v>
      </c>
      <c r="F27" s="130">
        <f>E27/E33</f>
        <v>2.3873811836563359E-2</v>
      </c>
      <c r="G27" s="5"/>
    </row>
    <row r="28" spans="1:7" s="4" customFormat="1" ht="15.75" customHeight="1" x14ac:dyDescent="0.2">
      <c r="A28" s="63" t="str">
        <f>A177</f>
        <v>3.1.5. Manutenção</v>
      </c>
      <c r="B28" s="44"/>
      <c r="C28" s="45"/>
      <c r="D28" s="45"/>
      <c r="E28" s="149">
        <f>F244</f>
        <v>296</v>
      </c>
      <c r="F28" s="130">
        <f>E28/E33</f>
        <v>9.2083831734899781E-3</v>
      </c>
      <c r="G28" s="5"/>
    </row>
    <row r="29" spans="1:7" s="4" customFormat="1" ht="15.75" customHeight="1" x14ac:dyDescent="0.2">
      <c r="A29" s="63" t="str">
        <f>A246</f>
        <v>3.2.6. Pneus</v>
      </c>
      <c r="B29" s="44"/>
      <c r="C29" s="45"/>
      <c r="D29" s="45"/>
      <c r="E29" s="149">
        <f>F253</f>
        <v>144</v>
      </c>
      <c r="F29" s="130">
        <f>E29/E33</f>
        <v>4.4797539762924223E-3</v>
      </c>
      <c r="G29" s="5"/>
    </row>
    <row r="30" spans="1:7" s="10" customFormat="1" ht="15.75" customHeight="1" x14ac:dyDescent="0.2">
      <c r="A30" s="125" t="str">
        <f>A257</f>
        <v>4. Ferramentas e Materiais de Consumo</v>
      </c>
      <c r="B30" s="126"/>
      <c r="C30" s="120"/>
      <c r="D30" s="120"/>
      <c r="E30" s="148">
        <f>+F284</f>
        <v>917.83277777777766</v>
      </c>
      <c r="F30" s="121">
        <f t="shared" si="0"/>
        <v>2.8553229415427209E-2</v>
      </c>
      <c r="G30" s="42"/>
    </row>
    <row r="31" spans="1:7" s="10" customFormat="1" ht="15.75" customHeight="1" x14ac:dyDescent="0.2">
      <c r="A31" s="125" t="str">
        <f>A286</f>
        <v>5. Monitoramento da Frota</v>
      </c>
      <c r="B31" s="126"/>
      <c r="C31" s="120"/>
      <c r="D31" s="120"/>
      <c r="E31" s="148">
        <f>+F295</f>
        <v>0</v>
      </c>
      <c r="F31" s="121">
        <f t="shared" si="0"/>
        <v>0</v>
      </c>
      <c r="G31" s="42"/>
    </row>
    <row r="32" spans="1:7" s="10" customFormat="1" ht="15.75" customHeight="1" thickBot="1" x14ac:dyDescent="0.25">
      <c r="A32" s="125" t="str">
        <f>A299</f>
        <v>6. Benefícios e Despesas Indiretas - BDI</v>
      </c>
      <c r="B32" s="126"/>
      <c r="C32" s="120"/>
      <c r="D32" s="120"/>
      <c r="E32" s="150">
        <f>+F305</f>
        <v>5751.1398475543947</v>
      </c>
      <c r="F32" s="121">
        <f t="shared" si="0"/>
        <v>0.17891452500205274</v>
      </c>
      <c r="G32" s="42"/>
    </row>
    <row r="33" spans="1:7" s="4" customFormat="1" ht="15.75" customHeight="1" thickBot="1" x14ac:dyDescent="0.25">
      <c r="A33" s="40" t="s">
        <v>174</v>
      </c>
      <c r="B33" s="41"/>
      <c r="C33" s="24"/>
      <c r="D33" s="24"/>
      <c r="E33" s="109">
        <f>E9+E14+E15+E30+E31+E32</f>
        <v>32144.622397138581</v>
      </c>
      <c r="F33" s="129">
        <f>F9+F14+F15+F30+F31+F32</f>
        <v>1</v>
      </c>
      <c r="G33" s="5"/>
    </row>
    <row r="35" spans="1:7" ht="13.5" thickBot="1" x14ac:dyDescent="0.25"/>
    <row r="36" spans="1:7" s="4" customFormat="1" ht="15" customHeight="1" thickBot="1" x14ac:dyDescent="0.25">
      <c r="A36" s="212" t="s">
        <v>70</v>
      </c>
      <c r="B36" s="213"/>
      <c r="C36" s="213"/>
      <c r="D36" s="213"/>
      <c r="E36" s="214"/>
      <c r="F36" s="9"/>
      <c r="G36" s="5"/>
    </row>
    <row r="37" spans="1:7" s="4" customFormat="1" ht="15" customHeight="1" thickBot="1" x14ac:dyDescent="0.25">
      <c r="A37" s="209" t="s">
        <v>34</v>
      </c>
      <c r="B37" s="210"/>
      <c r="C37" s="210"/>
      <c r="D37" s="211"/>
      <c r="E37" s="46" t="s">
        <v>35</v>
      </c>
      <c r="F37" s="9"/>
      <c r="G37" s="5"/>
    </row>
    <row r="38" spans="1:7" s="4" customFormat="1" ht="15" customHeight="1" x14ac:dyDescent="0.2">
      <c r="A38" s="47" t="str">
        <f>A10</f>
        <v>1.1.Encarregados/motoristas</v>
      </c>
      <c r="B38" s="70"/>
      <c r="C38" s="70"/>
      <c r="D38" s="71"/>
      <c r="E38" s="72">
        <v>1</v>
      </c>
      <c r="F38" s="9"/>
      <c r="G38" s="5"/>
    </row>
    <row r="39" spans="1:7" s="4" customFormat="1" ht="15" customHeight="1" x14ac:dyDescent="0.2">
      <c r="A39" s="47" t="str">
        <f>A11</f>
        <v>1.2. Servidores/gari</v>
      </c>
      <c r="B39" s="64"/>
      <c r="C39" s="64"/>
      <c r="D39" s="73"/>
      <c r="E39" s="67">
        <v>4</v>
      </c>
      <c r="F39" s="9"/>
      <c r="G39" s="5"/>
    </row>
    <row r="40" spans="1:7" s="4" customFormat="1" ht="15" customHeight="1" thickBot="1" x14ac:dyDescent="0.25">
      <c r="A40" s="68" t="s">
        <v>49</v>
      </c>
      <c r="B40" s="69"/>
      <c r="C40" s="69"/>
      <c r="D40" s="74"/>
      <c r="E40" s="75">
        <f>SUM(E38:E39)</f>
        <v>5</v>
      </c>
      <c r="F40" s="9"/>
      <c r="G40" s="5"/>
    </row>
    <row r="41" spans="1:7" s="4" customFormat="1" ht="15" customHeight="1" thickBot="1" x14ac:dyDescent="0.25">
      <c r="A41" s="122"/>
      <c r="B41" s="123"/>
      <c r="C41" s="57"/>
      <c r="D41" s="57"/>
      <c r="E41" s="124"/>
      <c r="F41" s="9"/>
      <c r="G41" s="5"/>
    </row>
    <row r="42" spans="1:7" s="4" customFormat="1" ht="15" customHeight="1" x14ac:dyDescent="0.2">
      <c r="A42" s="199" t="s">
        <v>46</v>
      </c>
      <c r="B42" s="200"/>
      <c r="C42" s="200"/>
      <c r="D42" s="200"/>
      <c r="E42" s="46" t="s">
        <v>35</v>
      </c>
      <c r="F42" s="8"/>
      <c r="G42" s="5"/>
    </row>
    <row r="43" spans="1:7" s="4" customFormat="1" ht="15" customHeight="1" x14ac:dyDescent="0.2">
      <c r="A43" s="172" t="str">
        <f>+A117</f>
        <v>3.1. Veículo Caminhão</v>
      </c>
      <c r="B43" s="64"/>
      <c r="C43" s="64"/>
      <c r="D43" s="147"/>
      <c r="E43" s="171">
        <v>0</v>
      </c>
      <c r="F43" s="8"/>
      <c r="G43" s="5"/>
    </row>
    <row r="44" spans="1:7" s="4" customFormat="1" ht="15" customHeight="1" x14ac:dyDescent="0.2">
      <c r="A44" s="173" t="s">
        <v>129</v>
      </c>
      <c r="B44" s="64"/>
      <c r="C44" s="64"/>
      <c r="D44" s="147"/>
      <c r="E44" s="171">
        <v>1</v>
      </c>
      <c r="F44" s="8"/>
      <c r="G44" s="5"/>
    </row>
    <row r="45" spans="1:7" s="4" customFormat="1" ht="15" customHeight="1" x14ac:dyDescent="0.2">
      <c r="A45" s="57"/>
      <c r="B45" s="57"/>
      <c r="C45" s="57"/>
      <c r="D45" s="52"/>
      <c r="E45" s="146"/>
      <c r="F45" s="8"/>
      <c r="G45" s="5"/>
    </row>
    <row r="46" spans="1:7" s="4" customFormat="1" ht="13.5" thickBot="1" x14ac:dyDescent="0.25">
      <c r="A46" s="57"/>
      <c r="B46" s="57"/>
      <c r="C46" s="57"/>
      <c r="D46" s="52"/>
      <c r="E46" s="65"/>
      <c r="F46" s="8"/>
      <c r="G46" s="5"/>
    </row>
    <row r="47" spans="1:7" s="10" customFormat="1" ht="15.75" customHeight="1" thickBot="1" x14ac:dyDescent="0.25">
      <c r="A47" s="152" t="s">
        <v>91</v>
      </c>
      <c r="B47" s="153">
        <v>1</v>
      </c>
      <c r="C47" s="33"/>
      <c r="D47" s="32"/>
      <c r="E47" s="137"/>
      <c r="G47" s="42"/>
    </row>
    <row r="48" spans="1:7" s="4" customFormat="1" ht="15.75" customHeight="1" x14ac:dyDescent="0.2">
      <c r="A48" s="57"/>
      <c r="B48" s="57"/>
      <c r="C48" s="57"/>
      <c r="D48" s="52"/>
      <c r="E48" s="65"/>
      <c r="F48" s="8"/>
      <c r="G48" s="5"/>
    </row>
    <row r="49" spans="1:7" ht="13.15" customHeight="1" x14ac:dyDescent="0.2">
      <c r="A49" s="10" t="s">
        <v>38</v>
      </c>
    </row>
    <row r="50" spans="1:7" ht="11.25" customHeight="1" x14ac:dyDescent="0.2"/>
    <row r="51" spans="1:7" ht="13.9" customHeight="1" thickBot="1" x14ac:dyDescent="0.25">
      <c r="A51" s="174" t="str">
        <f>A10</f>
        <v>1.1.Encarregados/motoristas</v>
      </c>
    </row>
    <row r="52" spans="1:7" ht="13.9" customHeight="1" thickBot="1" x14ac:dyDescent="0.25">
      <c r="A52" s="58" t="s">
        <v>54</v>
      </c>
      <c r="B52" s="59" t="s">
        <v>55</v>
      </c>
      <c r="C52" s="59" t="s">
        <v>35</v>
      </c>
      <c r="D52" s="60" t="s">
        <v>112</v>
      </c>
      <c r="E52" s="60" t="s">
        <v>56</v>
      </c>
      <c r="F52" s="61" t="s">
        <v>57</v>
      </c>
    </row>
    <row r="53" spans="1:7" ht="13.15" customHeight="1" x14ac:dyDescent="0.2">
      <c r="A53" s="11" t="s">
        <v>99</v>
      </c>
      <c r="B53" s="12" t="s">
        <v>6</v>
      </c>
      <c r="C53" s="12">
        <v>1</v>
      </c>
      <c r="D53" s="83">
        <v>2283.04</v>
      </c>
      <c r="E53" s="13">
        <f>C53*D53</f>
        <v>2283.04</v>
      </c>
    </row>
    <row r="54" spans="1:7" x14ac:dyDescent="0.2">
      <c r="A54" s="14" t="s">
        <v>0</v>
      </c>
      <c r="B54" s="15" t="s">
        <v>1</v>
      </c>
      <c r="C54" s="15">
        <v>20</v>
      </c>
      <c r="D54" s="79">
        <f>SUM(E53:E53)</f>
        <v>2283.04</v>
      </c>
      <c r="E54" s="16">
        <f>C54*D54/100</f>
        <v>456.608</v>
      </c>
    </row>
    <row r="55" spans="1:7" x14ac:dyDescent="0.2">
      <c r="A55" s="111" t="s">
        <v>2</v>
      </c>
      <c r="B55" s="112"/>
      <c r="C55" s="112"/>
      <c r="D55" s="113"/>
      <c r="E55" s="114">
        <f>SUM(E53:E54)</f>
        <v>2739.6480000000001</v>
      </c>
    </row>
    <row r="56" spans="1:7" x14ac:dyDescent="0.2">
      <c r="A56" s="14" t="s">
        <v>3</v>
      </c>
      <c r="B56" s="15" t="s">
        <v>1</v>
      </c>
      <c r="C56" s="127">
        <v>110.61</v>
      </c>
      <c r="D56" s="16">
        <f>E55</f>
        <v>2739.6480000000001</v>
      </c>
      <c r="E56" s="16">
        <f>D56*C56/100</f>
        <v>3030.3246528</v>
      </c>
    </row>
    <row r="57" spans="1:7" x14ac:dyDescent="0.2">
      <c r="A57" s="111" t="s">
        <v>62</v>
      </c>
      <c r="B57" s="112"/>
      <c r="C57" s="112"/>
      <c r="D57" s="113"/>
      <c r="E57" s="114">
        <f>E55+E56</f>
        <v>5769.9726528000001</v>
      </c>
    </row>
    <row r="58" spans="1:7" ht="13.5" thickBot="1" x14ac:dyDescent="0.25">
      <c r="A58" s="14" t="s">
        <v>4</v>
      </c>
      <c r="B58" s="15" t="s">
        <v>5</v>
      </c>
      <c r="C58" s="82">
        <v>1</v>
      </c>
      <c r="D58" s="16">
        <f>E57</f>
        <v>5769.9726528000001</v>
      </c>
      <c r="E58" s="16">
        <f>C58*D58</f>
        <v>5769.9726528000001</v>
      </c>
      <c r="G58" s="5"/>
    </row>
    <row r="59" spans="1:7" ht="13.9" customHeight="1" thickBot="1" x14ac:dyDescent="0.25">
      <c r="D59" s="116" t="s">
        <v>90</v>
      </c>
      <c r="E59" s="48">
        <f>$B$47</f>
        <v>1</v>
      </c>
      <c r="F59" s="117">
        <f>E58*E59</f>
        <v>5769.9726528000001</v>
      </c>
      <c r="G59" s="5"/>
    </row>
    <row r="60" spans="1:7" ht="11.25" customHeight="1" x14ac:dyDescent="0.2"/>
    <row r="61" spans="1:7" ht="13.5" thickBot="1" x14ac:dyDescent="0.25">
      <c r="A61" s="174" t="str">
        <f>A11</f>
        <v>1.2. Servidores/gari</v>
      </c>
    </row>
    <row r="62" spans="1:7" ht="13.5" thickBot="1" x14ac:dyDescent="0.25">
      <c r="A62" s="58" t="s">
        <v>54</v>
      </c>
      <c r="B62" s="59" t="s">
        <v>55</v>
      </c>
      <c r="C62" s="59" t="s">
        <v>35</v>
      </c>
      <c r="D62" s="60" t="s">
        <v>112</v>
      </c>
      <c r="E62" s="60" t="s">
        <v>56</v>
      </c>
      <c r="F62" s="61" t="s">
        <v>57</v>
      </c>
    </row>
    <row r="63" spans="1:7" x14ac:dyDescent="0.2">
      <c r="A63" s="11" t="s">
        <v>99</v>
      </c>
      <c r="B63" s="12" t="s">
        <v>6</v>
      </c>
      <c r="C63" s="12">
        <v>1</v>
      </c>
      <c r="D63" s="13">
        <v>1339.25</v>
      </c>
      <c r="E63" s="13">
        <f>C63*D63</f>
        <v>1339.25</v>
      </c>
    </row>
    <row r="64" spans="1:7" x14ac:dyDescent="0.2">
      <c r="A64" s="14" t="s">
        <v>0</v>
      </c>
      <c r="B64" s="15" t="s">
        <v>1</v>
      </c>
      <c r="C64" s="15">
        <f>+C54</f>
        <v>20</v>
      </c>
      <c r="D64" s="79">
        <f>SUM(E63:E63)</f>
        <v>1339.25</v>
      </c>
      <c r="E64" s="16">
        <f>C64*D64/100</f>
        <v>267.85000000000002</v>
      </c>
    </row>
    <row r="65" spans="1:7" x14ac:dyDescent="0.2">
      <c r="A65" s="111" t="s">
        <v>2</v>
      </c>
      <c r="B65" s="112"/>
      <c r="C65" s="112"/>
      <c r="D65" s="113"/>
      <c r="E65" s="114">
        <f>SUM(E63:E64)</f>
        <v>1607.1</v>
      </c>
    </row>
    <row r="66" spans="1:7" x14ac:dyDescent="0.2">
      <c r="A66" s="14" t="s">
        <v>3</v>
      </c>
      <c r="B66" s="15" t="s">
        <v>1</v>
      </c>
      <c r="C66" s="127">
        <v>110.61</v>
      </c>
      <c r="D66" s="16">
        <f>E65</f>
        <v>1607.1</v>
      </c>
      <c r="E66" s="16">
        <f>D66*C66/100</f>
        <v>1777.6133099999997</v>
      </c>
    </row>
    <row r="67" spans="1:7" x14ac:dyDescent="0.2">
      <c r="A67" s="111" t="s">
        <v>62</v>
      </c>
      <c r="B67" s="112"/>
      <c r="C67" s="112"/>
      <c r="D67" s="113"/>
      <c r="E67" s="114">
        <f>E65+E66</f>
        <v>3384.7133099999996</v>
      </c>
    </row>
    <row r="68" spans="1:7" ht="13.5" thickBot="1" x14ac:dyDescent="0.25">
      <c r="A68" s="14" t="s">
        <v>4</v>
      </c>
      <c r="B68" s="15" t="s">
        <v>5</v>
      </c>
      <c r="C68" s="82">
        <v>4</v>
      </c>
      <c r="D68" s="16">
        <f>E67</f>
        <v>3384.7133099999996</v>
      </c>
      <c r="E68" s="16">
        <f>C68*D68</f>
        <v>13538.853239999999</v>
      </c>
    </row>
    <row r="69" spans="1:7" ht="13.5" thickBot="1" x14ac:dyDescent="0.25">
      <c r="D69" s="116" t="s">
        <v>90</v>
      </c>
      <c r="E69" s="48">
        <f>$B$47</f>
        <v>1</v>
      </c>
      <c r="F69" s="117">
        <f>E68*E69</f>
        <v>13538.853239999999</v>
      </c>
    </row>
    <row r="70" spans="1:7" ht="11.25" customHeight="1" x14ac:dyDescent="0.2"/>
    <row r="71" spans="1:7" ht="11.25" customHeight="1" x14ac:dyDescent="0.2">
      <c r="G71" s="8"/>
    </row>
    <row r="72" spans="1:7" ht="13.5" thickBot="1" x14ac:dyDescent="0.25">
      <c r="A72" s="8" t="s">
        <v>71</v>
      </c>
      <c r="B72" s="87"/>
      <c r="D72" s="8"/>
      <c r="E72" s="8"/>
      <c r="G72" s="8"/>
    </row>
    <row r="73" spans="1:7" ht="13.5" thickBot="1" x14ac:dyDescent="0.25">
      <c r="A73" s="58" t="s">
        <v>54</v>
      </c>
      <c r="B73" s="59" t="s">
        <v>55</v>
      </c>
      <c r="C73" s="59" t="s">
        <v>35</v>
      </c>
      <c r="D73" s="60" t="s">
        <v>112</v>
      </c>
      <c r="E73" s="60" t="s">
        <v>56</v>
      </c>
      <c r="F73" s="61" t="s">
        <v>57</v>
      </c>
      <c r="G73" s="8"/>
    </row>
    <row r="74" spans="1:7" x14ac:dyDescent="0.2">
      <c r="A74" s="14" t="s">
        <v>66</v>
      </c>
      <c r="B74" s="15" t="s">
        <v>30</v>
      </c>
      <c r="C74" s="88">
        <v>1</v>
      </c>
      <c r="D74" s="86">
        <v>3.9</v>
      </c>
      <c r="E74" s="16"/>
      <c r="G74" s="8"/>
    </row>
    <row r="75" spans="1:7" x14ac:dyDescent="0.2">
      <c r="A75" s="14" t="s">
        <v>67</v>
      </c>
      <c r="B75" s="15" t="s">
        <v>68</v>
      </c>
      <c r="C75" s="85">
        <v>22</v>
      </c>
      <c r="D75" s="16"/>
      <c r="E75" s="16"/>
      <c r="G75" s="8"/>
    </row>
    <row r="76" spans="1:7" ht="13.5" thickBot="1" x14ac:dyDescent="0.25">
      <c r="A76" s="175" t="str">
        <f>A40</f>
        <v>Total de mão-de-obra (postos de trabalho)</v>
      </c>
      <c r="B76" s="15" t="s">
        <v>7</v>
      </c>
      <c r="C76" s="35">
        <f>$C$75*2*(C58+C68)</f>
        <v>220</v>
      </c>
      <c r="D76" s="13">
        <f>IFERROR((($C$75*2*$D$74)-(E53*0.06*C75/26))/($C$75*2),"-")</f>
        <v>1.265723076923077</v>
      </c>
      <c r="E76" s="16">
        <f>IFERROR(C76*D76,"-")</f>
        <v>278.45907692307691</v>
      </c>
      <c r="G76" s="8"/>
    </row>
    <row r="77" spans="1:7" ht="13.5" thickBot="1" x14ac:dyDescent="0.25">
      <c r="F77" s="20">
        <f>SUM(E76:E76)</f>
        <v>278.45907692307691</v>
      </c>
      <c r="G77" s="8"/>
    </row>
    <row r="78" spans="1:7" ht="11.25" customHeight="1" x14ac:dyDescent="0.2">
      <c r="G78" s="8"/>
    </row>
    <row r="79" spans="1:7" ht="13.5" thickBot="1" x14ac:dyDescent="0.25">
      <c r="A79" s="8" t="s">
        <v>88</v>
      </c>
      <c r="F79" s="21"/>
      <c r="G79" s="8"/>
    </row>
    <row r="80" spans="1:7" ht="13.5" thickBot="1" x14ac:dyDescent="0.25">
      <c r="A80" s="58" t="s">
        <v>54</v>
      </c>
      <c r="B80" s="59" t="s">
        <v>55</v>
      </c>
      <c r="C80" s="59" t="s">
        <v>35</v>
      </c>
      <c r="D80" s="60" t="s">
        <v>112</v>
      </c>
      <c r="E80" s="60" t="s">
        <v>56</v>
      </c>
      <c r="F80" s="61" t="s">
        <v>57</v>
      </c>
      <c r="G80" s="8"/>
    </row>
    <row r="81" spans="1:7" x14ac:dyDescent="0.2">
      <c r="A81" s="176" t="s">
        <v>176</v>
      </c>
      <c r="B81" s="15" t="s">
        <v>8</v>
      </c>
      <c r="C81" s="96">
        <v>1</v>
      </c>
      <c r="D81" s="179">
        <v>20.18</v>
      </c>
      <c r="E81" s="48">
        <f>C81*D81</f>
        <v>20.18</v>
      </c>
      <c r="F81" s="21"/>
      <c r="G81" s="8"/>
    </row>
    <row r="82" spans="1:7" x14ac:dyDescent="0.2">
      <c r="A82" s="176" t="s">
        <v>177</v>
      </c>
      <c r="B82" s="177" t="s">
        <v>68</v>
      </c>
      <c r="C82" s="96">
        <v>22</v>
      </c>
      <c r="D82" s="89"/>
      <c r="E82" s="48"/>
      <c r="F82" s="21"/>
      <c r="G82" s="8"/>
    </row>
    <row r="83" spans="1:7" ht="13.5" thickBot="1" x14ac:dyDescent="0.25">
      <c r="A83" s="176" t="s">
        <v>49</v>
      </c>
      <c r="B83" s="177" t="s">
        <v>7</v>
      </c>
      <c r="C83" s="96">
        <v>110</v>
      </c>
      <c r="D83" s="89">
        <f>D81-18.2*0.19</f>
        <v>16.722000000000001</v>
      </c>
      <c r="E83" s="48">
        <f>C83*D83</f>
        <v>1839.42</v>
      </c>
      <c r="F83" s="21"/>
      <c r="G83" s="8"/>
    </row>
    <row r="84" spans="1:7" ht="13.5" thickBot="1" x14ac:dyDescent="0.25">
      <c r="F84" s="20">
        <f>E83</f>
        <v>1839.42</v>
      </c>
      <c r="G84" s="8"/>
    </row>
    <row r="85" spans="1:7" x14ac:dyDescent="0.2">
      <c r="G85" s="8"/>
    </row>
    <row r="86" spans="1:7" ht="13.5" thickBot="1" x14ac:dyDescent="0.25">
      <c r="G86" s="8"/>
    </row>
    <row r="87" spans="1:7" ht="13.5" thickBot="1" x14ac:dyDescent="0.25">
      <c r="A87" s="22" t="s">
        <v>69</v>
      </c>
      <c r="B87" s="23"/>
      <c r="C87" s="23"/>
      <c r="D87" s="24"/>
      <c r="E87" s="25"/>
      <c r="F87" s="20">
        <f>F84+F77+F69+F59</f>
        <v>21426.704969723076</v>
      </c>
      <c r="G87" s="8"/>
    </row>
    <row r="89" spans="1:7" x14ac:dyDescent="0.2">
      <c r="A89" s="10" t="s">
        <v>36</v>
      </c>
      <c r="G89" s="8"/>
    </row>
    <row r="90" spans="1:7" ht="11.25" customHeight="1" x14ac:dyDescent="0.2">
      <c r="G90" s="8"/>
    </row>
    <row r="91" spans="1:7" ht="13.9" customHeight="1" x14ac:dyDescent="0.2">
      <c r="A91" s="6" t="s">
        <v>130</v>
      </c>
      <c r="G91" s="8"/>
    </row>
    <row r="92" spans="1:7" ht="11.25" customHeight="1" thickBot="1" x14ac:dyDescent="0.25">
      <c r="G92" s="8"/>
    </row>
    <row r="93" spans="1:7" ht="27.75" customHeight="1" thickBot="1" x14ac:dyDescent="0.25">
      <c r="A93" s="58" t="s">
        <v>54</v>
      </c>
      <c r="B93" s="59" t="s">
        <v>55</v>
      </c>
      <c r="C93" s="156" t="s">
        <v>118</v>
      </c>
      <c r="D93" s="60" t="s">
        <v>112</v>
      </c>
      <c r="E93" s="60" t="s">
        <v>56</v>
      </c>
      <c r="F93" s="61" t="s">
        <v>57</v>
      </c>
      <c r="G93" s="8"/>
    </row>
    <row r="94" spans="1:7" x14ac:dyDescent="0.2">
      <c r="A94" s="168" t="s">
        <v>58</v>
      </c>
      <c r="B94" s="12" t="s">
        <v>8</v>
      </c>
      <c r="C94" s="95">
        <v>24</v>
      </c>
      <c r="D94" s="83">
        <v>69</v>
      </c>
      <c r="E94" s="13">
        <f>IFERROR(D94/C94,0)</f>
        <v>2.875</v>
      </c>
      <c r="G94" s="8"/>
    </row>
    <row r="95" spans="1:7" ht="13.15" customHeight="1" x14ac:dyDescent="0.2">
      <c r="A95" s="14" t="s">
        <v>26</v>
      </c>
      <c r="B95" s="15" t="s">
        <v>8</v>
      </c>
      <c r="C95" s="95">
        <v>4</v>
      </c>
      <c r="D95" s="83">
        <v>40</v>
      </c>
      <c r="E95" s="13">
        <f t="shared" ref="E95:E107" si="1">IFERROR(D95/C95,0)</f>
        <v>10</v>
      </c>
      <c r="G95" s="8"/>
    </row>
    <row r="96" spans="1:7" x14ac:dyDescent="0.2">
      <c r="A96" s="14" t="s">
        <v>27</v>
      </c>
      <c r="B96" s="15" t="s">
        <v>8</v>
      </c>
      <c r="C96" s="95">
        <v>4</v>
      </c>
      <c r="D96" s="83">
        <v>16.5</v>
      </c>
      <c r="E96" s="13">
        <f t="shared" si="1"/>
        <v>4.125</v>
      </c>
      <c r="G96" s="8"/>
    </row>
    <row r="97" spans="1:7" ht="13.15" customHeight="1" x14ac:dyDescent="0.2">
      <c r="A97" s="14" t="s">
        <v>28</v>
      </c>
      <c r="B97" s="15" t="s">
        <v>8</v>
      </c>
      <c r="C97" s="95">
        <v>6</v>
      </c>
      <c r="D97" s="83">
        <v>12</v>
      </c>
      <c r="E97" s="13">
        <f t="shared" si="1"/>
        <v>2</v>
      </c>
      <c r="G97" s="8"/>
    </row>
    <row r="98" spans="1:7" ht="13.9" customHeight="1" x14ac:dyDescent="0.2">
      <c r="A98" s="14" t="s">
        <v>59</v>
      </c>
      <c r="B98" s="15" t="s">
        <v>39</v>
      </c>
      <c r="C98" s="95">
        <v>6</v>
      </c>
      <c r="D98" s="83">
        <v>60</v>
      </c>
      <c r="E98" s="13">
        <f t="shared" si="1"/>
        <v>10</v>
      </c>
      <c r="G98" s="8"/>
    </row>
    <row r="99" spans="1:7" ht="13.15" customHeight="1" x14ac:dyDescent="0.2">
      <c r="A99" s="176" t="s">
        <v>161</v>
      </c>
      <c r="B99" s="15" t="s">
        <v>39</v>
      </c>
      <c r="C99" s="95">
        <v>8</v>
      </c>
      <c r="D99" s="83">
        <v>30</v>
      </c>
      <c r="E99" s="13">
        <f t="shared" si="1"/>
        <v>3.75</v>
      </c>
    </row>
    <row r="100" spans="1:7" x14ac:dyDescent="0.2">
      <c r="A100" s="176" t="s">
        <v>131</v>
      </c>
      <c r="B100" s="15" t="s">
        <v>8</v>
      </c>
      <c r="C100" s="95">
        <v>8</v>
      </c>
      <c r="D100" s="83">
        <v>30</v>
      </c>
      <c r="E100" s="13">
        <f t="shared" si="1"/>
        <v>3.75</v>
      </c>
    </row>
    <row r="101" spans="1:7" s="1" customFormat="1" x14ac:dyDescent="0.2">
      <c r="A101" s="2" t="s">
        <v>9</v>
      </c>
      <c r="B101" s="3" t="s">
        <v>8</v>
      </c>
      <c r="C101" s="95">
        <v>6</v>
      </c>
      <c r="D101" s="83">
        <v>15</v>
      </c>
      <c r="E101" s="13">
        <f t="shared" si="1"/>
        <v>2.5</v>
      </c>
      <c r="F101" s="36"/>
      <c r="G101" s="36"/>
    </row>
    <row r="102" spans="1:7" x14ac:dyDescent="0.2">
      <c r="A102" s="14" t="s">
        <v>29</v>
      </c>
      <c r="B102" s="15" t="s">
        <v>39</v>
      </c>
      <c r="C102" s="95">
        <v>2</v>
      </c>
      <c r="D102" s="83">
        <v>15</v>
      </c>
      <c r="E102" s="13">
        <f t="shared" si="1"/>
        <v>7.5</v>
      </c>
    </row>
    <row r="103" spans="1:7" x14ac:dyDescent="0.2">
      <c r="A103" s="176" t="s">
        <v>163</v>
      </c>
      <c r="B103" s="177" t="s">
        <v>8</v>
      </c>
      <c r="C103" s="95">
        <v>2</v>
      </c>
      <c r="D103" s="83">
        <v>6</v>
      </c>
      <c r="E103" s="13">
        <f t="shared" si="1"/>
        <v>3</v>
      </c>
    </row>
    <row r="104" spans="1:7" x14ac:dyDescent="0.2">
      <c r="A104" s="176" t="s">
        <v>164</v>
      </c>
      <c r="B104" s="177" t="s">
        <v>8</v>
      </c>
      <c r="C104" s="95">
        <v>2</v>
      </c>
      <c r="D104" s="83">
        <v>20</v>
      </c>
      <c r="E104" s="13">
        <f t="shared" si="1"/>
        <v>10</v>
      </c>
    </row>
    <row r="105" spans="1:7" x14ac:dyDescent="0.2">
      <c r="A105" s="176" t="s">
        <v>165</v>
      </c>
      <c r="B105" s="177" t="s">
        <v>8</v>
      </c>
      <c r="C105" s="95">
        <v>2</v>
      </c>
      <c r="D105" s="83">
        <v>18</v>
      </c>
      <c r="E105" s="13">
        <f t="shared" si="1"/>
        <v>9</v>
      </c>
    </row>
    <row r="106" spans="1:7" x14ac:dyDescent="0.2">
      <c r="A106" s="176" t="s">
        <v>166</v>
      </c>
      <c r="B106" s="177" t="s">
        <v>8</v>
      </c>
      <c r="C106" s="95">
        <v>1</v>
      </c>
      <c r="D106" s="83">
        <v>2</v>
      </c>
      <c r="E106" s="13">
        <f t="shared" si="1"/>
        <v>2</v>
      </c>
    </row>
    <row r="107" spans="1:7" ht="13.15" customHeight="1" x14ac:dyDescent="0.2">
      <c r="A107" s="14" t="s">
        <v>53</v>
      </c>
      <c r="B107" s="15" t="s">
        <v>40</v>
      </c>
      <c r="C107" s="95">
        <v>1</v>
      </c>
      <c r="D107" s="83">
        <v>27.5</v>
      </c>
      <c r="E107" s="13">
        <f t="shared" si="1"/>
        <v>27.5</v>
      </c>
    </row>
    <row r="108" spans="1:7" x14ac:dyDescent="0.2">
      <c r="A108" s="176" t="s">
        <v>162</v>
      </c>
      <c r="B108" s="177" t="s">
        <v>8</v>
      </c>
      <c r="C108" s="115">
        <v>6</v>
      </c>
      <c r="D108" s="83">
        <v>60</v>
      </c>
      <c r="E108" s="16">
        <f>D108/C108</f>
        <v>10</v>
      </c>
    </row>
    <row r="109" spans="1:7" ht="13.5" thickBot="1" x14ac:dyDescent="0.25">
      <c r="A109" s="14" t="s">
        <v>4</v>
      </c>
      <c r="B109" s="15" t="s">
        <v>5</v>
      </c>
      <c r="C109" s="66">
        <v>5</v>
      </c>
      <c r="D109" s="16">
        <f>+SUM(E94:E108)</f>
        <v>108</v>
      </c>
      <c r="E109" s="16">
        <f t="shared" ref="E109" si="2">C109*D109</f>
        <v>540</v>
      </c>
    </row>
    <row r="110" spans="1:7" ht="13.5" thickBot="1" x14ac:dyDescent="0.25">
      <c r="D110" s="116" t="s">
        <v>90</v>
      </c>
      <c r="E110" s="48">
        <v>1</v>
      </c>
      <c r="F110" s="117">
        <f>E109*E110</f>
        <v>540</v>
      </c>
    </row>
    <row r="111" spans="1:7" ht="11.25" customHeight="1" x14ac:dyDescent="0.2"/>
    <row r="112" spans="1:7" ht="11.25" customHeight="1" thickBot="1" x14ac:dyDescent="0.25">
      <c r="G112" s="8"/>
    </row>
    <row r="113" spans="1:10" ht="13.5" thickBot="1" x14ac:dyDescent="0.25">
      <c r="A113" s="22" t="s">
        <v>92</v>
      </c>
      <c r="B113" s="26"/>
      <c r="C113" s="26"/>
      <c r="D113" s="27"/>
      <c r="E113" s="28"/>
      <c r="F113" s="19">
        <f>F110</f>
        <v>540</v>
      </c>
      <c r="G113" s="8"/>
    </row>
    <row r="114" spans="1:10" ht="11.25" customHeight="1" x14ac:dyDescent="0.2">
      <c r="G114" s="8"/>
    </row>
    <row r="115" spans="1:10" x14ac:dyDescent="0.2">
      <c r="A115" s="10" t="s">
        <v>44</v>
      </c>
      <c r="G115" s="8"/>
    </row>
    <row r="116" spans="1:10" ht="11.25" customHeight="1" x14ac:dyDescent="0.2">
      <c r="B116" s="101"/>
      <c r="G116" s="8"/>
    </row>
    <row r="117" spans="1:10" x14ac:dyDescent="0.2">
      <c r="A117" s="6" t="s">
        <v>126</v>
      </c>
      <c r="G117" s="8"/>
    </row>
    <row r="118" spans="1:10" ht="11.25" customHeight="1" x14ac:dyDescent="0.2">
      <c r="G118" s="8"/>
    </row>
    <row r="119" spans="1:10" ht="13.5" thickBot="1" x14ac:dyDescent="0.25">
      <c r="A119" s="101" t="s">
        <v>37</v>
      </c>
      <c r="G119" s="8"/>
    </row>
    <row r="120" spans="1:10" ht="13.5" thickBot="1" x14ac:dyDescent="0.25">
      <c r="A120" s="58" t="s">
        <v>54</v>
      </c>
      <c r="B120" s="59" t="s">
        <v>55</v>
      </c>
      <c r="C120" s="59" t="s">
        <v>35</v>
      </c>
      <c r="D120" s="60" t="s">
        <v>112</v>
      </c>
      <c r="E120" s="60" t="s">
        <v>56</v>
      </c>
      <c r="F120" s="61" t="s">
        <v>57</v>
      </c>
      <c r="G120" s="8"/>
    </row>
    <row r="121" spans="1:10" x14ac:dyDescent="0.2">
      <c r="A121" s="11" t="s">
        <v>76</v>
      </c>
      <c r="B121" s="12" t="s">
        <v>8</v>
      </c>
      <c r="C121" s="162"/>
      <c r="D121" s="83"/>
      <c r="E121" s="13"/>
      <c r="G121" s="8"/>
    </row>
    <row r="122" spans="1:10" x14ac:dyDescent="0.2">
      <c r="A122" s="14" t="s">
        <v>72</v>
      </c>
      <c r="B122" s="15" t="s">
        <v>73</v>
      </c>
      <c r="C122" s="82"/>
      <c r="D122" s="79"/>
      <c r="E122" s="16"/>
      <c r="G122" s="8"/>
    </row>
    <row r="123" spans="1:10" x14ac:dyDescent="0.2">
      <c r="A123" s="14" t="s">
        <v>96</v>
      </c>
      <c r="B123" s="15" t="s">
        <v>73</v>
      </c>
      <c r="C123" s="82"/>
      <c r="D123" s="16"/>
      <c r="E123" s="16"/>
      <c r="F123" s="18"/>
      <c r="I123" s="81"/>
      <c r="J123" s="81"/>
    </row>
    <row r="124" spans="1:10" x14ac:dyDescent="0.2">
      <c r="A124" s="14" t="s">
        <v>75</v>
      </c>
      <c r="B124" s="15" t="s">
        <v>1</v>
      </c>
      <c r="C124" s="127"/>
      <c r="D124" s="16"/>
      <c r="E124" s="16"/>
    </row>
    <row r="125" spans="1:10" ht="13.5" thickBot="1" x14ac:dyDescent="0.25">
      <c r="A125" s="164" t="s">
        <v>143</v>
      </c>
      <c r="B125" s="165" t="s">
        <v>6</v>
      </c>
      <c r="C125" s="165"/>
      <c r="D125" s="166"/>
      <c r="E125" s="166"/>
    </row>
    <row r="126" spans="1:10" ht="13.5" thickTop="1" x14ac:dyDescent="0.2">
      <c r="A126" s="168" t="s">
        <v>132</v>
      </c>
      <c r="B126" s="12" t="s">
        <v>8</v>
      </c>
      <c r="C126" s="12"/>
      <c r="D126" s="83"/>
      <c r="E126" s="13"/>
      <c r="G126" s="8"/>
    </row>
    <row r="127" spans="1:10" x14ac:dyDescent="0.2">
      <c r="A127" s="176" t="s">
        <v>133</v>
      </c>
      <c r="B127" s="15" t="s">
        <v>73</v>
      </c>
      <c r="C127" s="82"/>
      <c r="D127" s="16"/>
      <c r="E127" s="16"/>
    </row>
    <row r="128" spans="1:10" x14ac:dyDescent="0.2">
      <c r="A128" s="176" t="s">
        <v>134</v>
      </c>
      <c r="B128" s="15" t="s">
        <v>73</v>
      </c>
      <c r="C128" s="82"/>
      <c r="D128" s="16"/>
      <c r="E128" s="16"/>
      <c r="F128" s="18"/>
      <c r="I128" s="81"/>
      <c r="J128" s="81"/>
    </row>
    <row r="129" spans="1:10" x14ac:dyDescent="0.2">
      <c r="A129" s="14" t="s">
        <v>74</v>
      </c>
      <c r="B129" s="15" t="s">
        <v>1</v>
      </c>
      <c r="C129" s="128"/>
      <c r="D129" s="16"/>
      <c r="E129" s="16"/>
    </row>
    <row r="130" spans="1:10" x14ac:dyDescent="0.2">
      <c r="A130" s="97" t="s">
        <v>144</v>
      </c>
      <c r="B130" s="98" t="s">
        <v>6</v>
      </c>
      <c r="C130" s="98"/>
      <c r="D130" s="99"/>
      <c r="E130" s="99"/>
    </row>
    <row r="131" spans="1:10" x14ac:dyDescent="0.2">
      <c r="A131" s="111" t="s">
        <v>121</v>
      </c>
      <c r="B131" s="112"/>
      <c r="C131" s="112"/>
      <c r="D131" s="113"/>
      <c r="E131" s="114"/>
    </row>
    <row r="132" spans="1:10" ht="13.5" thickBot="1" x14ac:dyDescent="0.25">
      <c r="A132" s="97" t="s">
        <v>122</v>
      </c>
      <c r="B132" s="98" t="s">
        <v>8</v>
      </c>
      <c r="C132" s="82"/>
      <c r="D132" s="99"/>
      <c r="E132" s="114"/>
    </row>
    <row r="133" spans="1:10" ht="13.5" thickBot="1" x14ac:dyDescent="0.25">
      <c r="A133" s="161"/>
      <c r="B133" s="161"/>
      <c r="C133" s="161"/>
      <c r="D133" s="116" t="s">
        <v>90</v>
      </c>
      <c r="E133" s="48"/>
      <c r="F133" s="19"/>
    </row>
    <row r="134" spans="1:10" ht="11.25" customHeight="1" x14ac:dyDescent="0.2"/>
    <row r="135" spans="1:10" ht="13.5" thickBot="1" x14ac:dyDescent="0.25">
      <c r="A135" s="101" t="s">
        <v>80</v>
      </c>
    </row>
    <row r="136" spans="1:10" ht="13.5" thickBot="1" x14ac:dyDescent="0.25">
      <c r="A136" s="103" t="s">
        <v>54</v>
      </c>
      <c r="B136" s="104" t="s">
        <v>55</v>
      </c>
      <c r="C136" s="104" t="s">
        <v>35</v>
      </c>
      <c r="D136" s="60" t="s">
        <v>112</v>
      </c>
      <c r="E136" s="105" t="s">
        <v>56</v>
      </c>
      <c r="F136" s="61" t="s">
        <v>57</v>
      </c>
      <c r="I136" s="81"/>
      <c r="J136" s="81"/>
    </row>
    <row r="137" spans="1:10" x14ac:dyDescent="0.2">
      <c r="A137" s="14" t="s">
        <v>79</v>
      </c>
      <c r="B137" s="15" t="s">
        <v>8</v>
      </c>
      <c r="C137" s="162"/>
      <c r="D137" s="16"/>
      <c r="E137" s="16"/>
      <c r="F137" s="18"/>
      <c r="I137" s="81"/>
      <c r="J137" s="81"/>
    </row>
    <row r="138" spans="1:10" x14ac:dyDescent="0.2">
      <c r="A138" s="14" t="s">
        <v>98</v>
      </c>
      <c r="B138" s="15" t="s">
        <v>1</v>
      </c>
      <c r="C138" s="82"/>
      <c r="D138" s="16"/>
      <c r="E138" s="16"/>
      <c r="F138" s="18"/>
      <c r="I138" s="81"/>
      <c r="J138" s="81"/>
    </row>
    <row r="139" spans="1:10" x14ac:dyDescent="0.2">
      <c r="A139" s="14" t="s">
        <v>97</v>
      </c>
      <c r="B139" s="15" t="s">
        <v>30</v>
      </c>
      <c r="C139" s="131"/>
      <c r="D139" s="16"/>
      <c r="E139" s="16"/>
      <c r="F139" s="18"/>
      <c r="I139" s="81"/>
      <c r="J139" s="81"/>
    </row>
    <row r="140" spans="1:10" x14ac:dyDescent="0.2">
      <c r="A140" s="14" t="s">
        <v>82</v>
      </c>
      <c r="B140" s="15" t="s">
        <v>30</v>
      </c>
      <c r="C140" s="79"/>
      <c r="D140" s="16"/>
      <c r="E140" s="16"/>
      <c r="F140" s="18"/>
      <c r="I140" s="81"/>
      <c r="J140" s="81"/>
    </row>
    <row r="141" spans="1:10" ht="13.5" thickBot="1" x14ac:dyDescent="0.25">
      <c r="A141" s="164" t="s">
        <v>83</v>
      </c>
      <c r="B141" s="165" t="s">
        <v>30</v>
      </c>
      <c r="C141" s="165"/>
      <c r="D141" s="167"/>
      <c r="E141" s="166"/>
      <c r="F141" s="18"/>
      <c r="I141" s="81"/>
      <c r="J141" s="81"/>
    </row>
    <row r="142" spans="1:10" ht="13.5" thickTop="1" x14ac:dyDescent="0.2">
      <c r="A142" s="168" t="s">
        <v>135</v>
      </c>
      <c r="B142" s="12" t="s">
        <v>8</v>
      </c>
      <c r="C142" s="12"/>
      <c r="D142" s="13"/>
      <c r="E142" s="13"/>
      <c r="F142" s="18"/>
      <c r="I142" s="81"/>
      <c r="J142" s="81"/>
    </row>
    <row r="143" spans="1:10" x14ac:dyDescent="0.2">
      <c r="A143" s="14" t="s">
        <v>98</v>
      </c>
      <c r="B143" s="15" t="s">
        <v>1</v>
      </c>
      <c r="C143" s="163"/>
      <c r="D143" s="16"/>
      <c r="E143" s="16"/>
      <c r="F143" s="18"/>
      <c r="I143" s="81"/>
      <c r="J143" s="81"/>
    </row>
    <row r="144" spans="1:10" x14ac:dyDescent="0.2">
      <c r="A144" s="176" t="s">
        <v>136</v>
      </c>
      <c r="B144" s="15" t="s">
        <v>30</v>
      </c>
      <c r="C144" s="131"/>
      <c r="D144" s="16"/>
      <c r="E144" s="16"/>
      <c r="F144" s="18"/>
      <c r="I144" s="81"/>
      <c r="J144" s="81"/>
    </row>
    <row r="145" spans="1:10" x14ac:dyDescent="0.2">
      <c r="A145" s="176" t="s">
        <v>137</v>
      </c>
      <c r="B145" s="15" t="s">
        <v>30</v>
      </c>
      <c r="C145" s="79"/>
      <c r="D145" s="16"/>
      <c r="E145" s="16"/>
      <c r="F145" s="18"/>
      <c r="I145" s="81"/>
      <c r="J145" s="81"/>
    </row>
    <row r="146" spans="1:10" x14ac:dyDescent="0.2">
      <c r="A146" s="97" t="s">
        <v>142</v>
      </c>
      <c r="B146" s="98" t="s">
        <v>30</v>
      </c>
      <c r="C146" s="98"/>
      <c r="D146" s="107"/>
      <c r="E146" s="99"/>
      <c r="F146" s="18"/>
      <c r="I146" s="81"/>
      <c r="J146" s="81"/>
    </row>
    <row r="147" spans="1:10" x14ac:dyDescent="0.2">
      <c r="A147" s="111" t="s">
        <v>121</v>
      </c>
      <c r="B147" s="112"/>
      <c r="C147" s="112"/>
      <c r="D147" s="113"/>
      <c r="E147" s="114"/>
      <c r="F147" s="18"/>
      <c r="I147" s="81"/>
      <c r="J147" s="81"/>
    </row>
    <row r="148" spans="1:10" ht="13.5" thickBot="1" x14ac:dyDescent="0.25">
      <c r="A148" s="97" t="s">
        <v>122</v>
      </c>
      <c r="B148" s="98" t="s">
        <v>8</v>
      </c>
      <c r="C148" s="163">
        <f>C132</f>
        <v>0</v>
      </c>
      <c r="D148" s="99"/>
      <c r="E148" s="114"/>
      <c r="F148" s="18"/>
      <c r="I148" s="81"/>
      <c r="J148" s="81"/>
    </row>
    <row r="149" spans="1:10" ht="13.5" thickBot="1" x14ac:dyDescent="0.25">
      <c r="C149" s="17"/>
      <c r="D149" s="116" t="s">
        <v>90</v>
      </c>
      <c r="E149" s="48"/>
      <c r="F149" s="19"/>
      <c r="I149" s="81"/>
      <c r="J149" s="81"/>
    </row>
    <row r="150" spans="1:10" ht="11.25" customHeight="1" x14ac:dyDescent="0.2">
      <c r="I150" s="81"/>
      <c r="J150" s="81"/>
    </row>
    <row r="151" spans="1:10" ht="13.5" thickBot="1" x14ac:dyDescent="0.25">
      <c r="A151" s="8" t="s">
        <v>41</v>
      </c>
      <c r="I151" s="81"/>
      <c r="J151" s="81"/>
    </row>
    <row r="152" spans="1:10" ht="13.5" thickBot="1" x14ac:dyDescent="0.25">
      <c r="A152" s="58" t="s">
        <v>54</v>
      </c>
      <c r="B152" s="59" t="s">
        <v>55</v>
      </c>
      <c r="C152" s="59" t="s">
        <v>35</v>
      </c>
      <c r="D152" s="60" t="s">
        <v>112</v>
      </c>
      <c r="E152" s="60" t="s">
        <v>56</v>
      </c>
      <c r="F152" s="61" t="s">
        <v>57</v>
      </c>
      <c r="I152" s="81"/>
      <c r="J152" s="81"/>
    </row>
    <row r="153" spans="1:10" x14ac:dyDescent="0.2">
      <c r="A153" s="11" t="s">
        <v>10</v>
      </c>
      <c r="B153" s="12" t="s">
        <v>8</v>
      </c>
      <c r="C153" s="13"/>
      <c r="D153" s="13"/>
      <c r="E153" s="13"/>
      <c r="I153" s="81"/>
      <c r="J153" s="81"/>
    </row>
    <row r="154" spans="1:10" x14ac:dyDescent="0.2">
      <c r="A154" s="14" t="s">
        <v>89</v>
      </c>
      <c r="B154" s="15" t="s">
        <v>8</v>
      </c>
      <c r="C154" s="13"/>
      <c r="D154" s="84"/>
      <c r="E154" s="16"/>
      <c r="I154" s="81"/>
      <c r="J154" s="81"/>
    </row>
    <row r="155" spans="1:10" x14ac:dyDescent="0.2">
      <c r="A155" s="14" t="s">
        <v>11</v>
      </c>
      <c r="B155" s="15" t="s">
        <v>8</v>
      </c>
      <c r="C155" s="13"/>
      <c r="D155" s="84"/>
      <c r="E155" s="16"/>
      <c r="F155" s="29"/>
      <c r="I155" s="81"/>
      <c r="J155" s="81"/>
    </row>
    <row r="156" spans="1:10" ht="13.5" thickBot="1" x14ac:dyDescent="0.25">
      <c r="A156" s="97" t="s">
        <v>12</v>
      </c>
      <c r="B156" s="98" t="s">
        <v>6</v>
      </c>
      <c r="C156" s="98"/>
      <c r="D156" s="99"/>
      <c r="E156" s="99"/>
      <c r="I156" s="81"/>
      <c r="J156" s="81"/>
    </row>
    <row r="157" spans="1:10" ht="13.5" thickBot="1" x14ac:dyDescent="0.25">
      <c r="D157" s="116" t="s">
        <v>90</v>
      </c>
      <c r="E157" s="48"/>
      <c r="F157" s="117"/>
      <c r="I157" s="81"/>
      <c r="J157" s="81"/>
    </row>
    <row r="158" spans="1:10" ht="11.25" customHeight="1" x14ac:dyDescent="0.2">
      <c r="I158" s="81"/>
      <c r="J158" s="81"/>
    </row>
    <row r="159" spans="1:10" x14ac:dyDescent="0.2">
      <c r="A159" s="8" t="s">
        <v>42</v>
      </c>
      <c r="B159" s="30"/>
      <c r="I159" s="81"/>
      <c r="J159" s="81"/>
    </row>
    <row r="160" spans="1:10" x14ac:dyDescent="0.2">
      <c r="B160" s="30"/>
      <c r="I160" s="81"/>
      <c r="J160" s="81"/>
    </row>
    <row r="161" spans="1:10" x14ac:dyDescent="0.2">
      <c r="A161" s="97" t="s">
        <v>85</v>
      </c>
      <c r="B161" s="108"/>
      <c r="C161" s="30"/>
      <c r="I161" s="81"/>
      <c r="J161" s="81"/>
    </row>
    <row r="162" spans="1:10" ht="13.5" thickBot="1" x14ac:dyDescent="0.25">
      <c r="B162" s="30"/>
      <c r="I162" s="81"/>
      <c r="J162" s="81"/>
    </row>
    <row r="163" spans="1:10" ht="13.5" thickBot="1" x14ac:dyDescent="0.25">
      <c r="A163" s="58" t="s">
        <v>54</v>
      </c>
      <c r="B163" s="59" t="s">
        <v>55</v>
      </c>
      <c r="C163" s="59" t="s">
        <v>120</v>
      </c>
      <c r="D163" s="60" t="s">
        <v>112</v>
      </c>
      <c r="E163" s="60" t="s">
        <v>56</v>
      </c>
      <c r="F163" s="61" t="s">
        <v>57</v>
      </c>
      <c r="I163" s="81"/>
      <c r="J163" s="81"/>
    </row>
    <row r="164" spans="1:10" x14ac:dyDescent="0.2">
      <c r="A164" s="11" t="s">
        <v>13</v>
      </c>
      <c r="B164" s="12" t="s">
        <v>14</v>
      </c>
      <c r="C164" s="91"/>
      <c r="D164" s="92"/>
      <c r="E164" s="13"/>
      <c r="I164" s="81"/>
      <c r="J164" s="81"/>
    </row>
    <row r="165" spans="1:10" x14ac:dyDescent="0.2">
      <c r="A165" s="14" t="s">
        <v>15</v>
      </c>
      <c r="B165" s="15" t="s">
        <v>16</v>
      </c>
      <c r="C165" s="88"/>
      <c r="D165" s="160"/>
      <c r="E165" s="16"/>
      <c r="I165" s="81"/>
      <c r="J165" s="81"/>
    </row>
    <row r="166" spans="1:10" x14ac:dyDescent="0.2">
      <c r="A166" s="14" t="s">
        <v>113</v>
      </c>
      <c r="B166" s="15" t="s">
        <v>17</v>
      </c>
      <c r="C166" s="94"/>
      <c r="D166" s="84"/>
      <c r="E166" s="16"/>
      <c r="G166" s="106"/>
      <c r="H166" s="50"/>
      <c r="I166" s="81"/>
      <c r="J166" s="81"/>
    </row>
    <row r="167" spans="1:10" x14ac:dyDescent="0.2">
      <c r="A167" s="14" t="s">
        <v>18</v>
      </c>
      <c r="B167" s="15" t="s">
        <v>16</v>
      </c>
      <c r="C167" s="88"/>
      <c r="D167" s="157"/>
      <c r="E167" s="16"/>
      <c r="G167" s="106"/>
      <c r="H167" s="50"/>
      <c r="I167" s="81"/>
      <c r="J167" s="81"/>
    </row>
    <row r="168" spans="1:10" x14ac:dyDescent="0.2">
      <c r="A168" s="14" t="s">
        <v>114</v>
      </c>
      <c r="B168" s="15" t="s">
        <v>17</v>
      </c>
      <c r="C168" s="94"/>
      <c r="D168" s="84"/>
      <c r="E168" s="16"/>
      <c r="G168" s="106"/>
      <c r="H168" s="50"/>
      <c r="I168" s="81"/>
      <c r="J168" s="81"/>
    </row>
    <row r="169" spans="1:10" x14ac:dyDescent="0.2">
      <c r="A169" s="14" t="s">
        <v>19</v>
      </c>
      <c r="B169" s="15" t="s">
        <v>16</v>
      </c>
      <c r="C169" s="88"/>
      <c r="D169" s="157"/>
      <c r="E169" s="16"/>
      <c r="G169" s="106"/>
      <c r="H169" s="50"/>
      <c r="I169" s="81"/>
      <c r="J169" s="81"/>
    </row>
    <row r="170" spans="1:10" x14ac:dyDescent="0.2">
      <c r="A170" s="14" t="s">
        <v>115</v>
      </c>
      <c r="B170" s="15" t="s">
        <v>17</v>
      </c>
      <c r="C170" s="94"/>
      <c r="D170" s="84"/>
      <c r="E170" s="16"/>
      <c r="G170" s="106"/>
      <c r="H170" s="50"/>
      <c r="I170" s="81"/>
      <c r="J170" s="81"/>
    </row>
    <row r="171" spans="1:10" x14ac:dyDescent="0.2">
      <c r="A171" s="14" t="s">
        <v>20</v>
      </c>
      <c r="B171" s="15" t="s">
        <v>16</v>
      </c>
      <c r="C171" s="88"/>
      <c r="D171" s="157"/>
      <c r="E171" s="16"/>
      <c r="G171" s="106"/>
      <c r="H171" s="50"/>
      <c r="I171" s="81"/>
      <c r="J171" s="81"/>
    </row>
    <row r="172" spans="1:10" x14ac:dyDescent="0.2">
      <c r="A172" s="14" t="s">
        <v>21</v>
      </c>
      <c r="B172" s="15" t="s">
        <v>22</v>
      </c>
      <c r="C172" s="94"/>
      <c r="D172" s="84"/>
      <c r="E172" s="16"/>
      <c r="G172" s="106"/>
      <c r="H172" s="50"/>
      <c r="I172" s="81"/>
      <c r="J172" s="81"/>
    </row>
    <row r="173" spans="1:10" x14ac:dyDescent="0.2">
      <c r="A173" s="14" t="s">
        <v>23</v>
      </c>
      <c r="B173" s="15" t="s">
        <v>16</v>
      </c>
      <c r="C173" s="88"/>
      <c r="D173" s="157"/>
      <c r="E173" s="16"/>
      <c r="G173" s="106"/>
      <c r="H173" s="50"/>
      <c r="I173" s="81"/>
      <c r="J173" s="81"/>
    </row>
    <row r="174" spans="1:10" ht="13.5" thickBot="1" x14ac:dyDescent="0.25">
      <c r="A174" s="97" t="s">
        <v>119</v>
      </c>
      <c r="B174" s="98" t="s">
        <v>86</v>
      </c>
      <c r="C174" s="158"/>
      <c r="D174" s="159"/>
      <c r="E174" s="16"/>
      <c r="G174" s="106"/>
      <c r="H174" s="50"/>
      <c r="I174" s="81"/>
      <c r="J174" s="81"/>
    </row>
    <row r="175" spans="1:10" ht="13.5" thickBot="1" x14ac:dyDescent="0.25">
      <c r="F175" s="19"/>
      <c r="I175" s="81"/>
      <c r="J175" s="81"/>
    </row>
    <row r="176" spans="1:10" ht="11.25" customHeight="1" x14ac:dyDescent="0.2">
      <c r="I176" s="81"/>
      <c r="J176" s="81"/>
    </row>
    <row r="177" spans="1:10" ht="13.5" thickBot="1" x14ac:dyDescent="0.25">
      <c r="A177" s="8" t="s">
        <v>43</v>
      </c>
      <c r="I177" s="81"/>
      <c r="J177" s="81"/>
    </row>
    <row r="178" spans="1:10" ht="13.5" thickBot="1" x14ac:dyDescent="0.25">
      <c r="A178" s="58" t="s">
        <v>54</v>
      </c>
      <c r="B178" s="59" t="s">
        <v>55</v>
      </c>
      <c r="C178" s="59" t="s">
        <v>35</v>
      </c>
      <c r="D178" s="60" t="s">
        <v>112</v>
      </c>
      <c r="E178" s="60" t="s">
        <v>56</v>
      </c>
      <c r="F178" s="61" t="s">
        <v>57</v>
      </c>
      <c r="I178" s="81"/>
      <c r="J178" s="81"/>
    </row>
    <row r="179" spans="1:10" ht="13.5" thickBot="1" x14ac:dyDescent="0.25">
      <c r="A179" s="11" t="s">
        <v>84</v>
      </c>
      <c r="B179" s="12" t="s">
        <v>86</v>
      </c>
      <c r="C179" s="88"/>
      <c r="D179" s="170"/>
      <c r="E179" s="13"/>
      <c r="I179" s="81"/>
      <c r="J179" s="81"/>
    </row>
    <row r="180" spans="1:10" ht="13.5" thickBot="1" x14ac:dyDescent="0.25">
      <c r="F180" s="19"/>
      <c r="I180" s="81"/>
      <c r="J180" s="81"/>
    </row>
    <row r="181" spans="1:10" ht="11.25" customHeight="1" x14ac:dyDescent="0.2">
      <c r="I181" s="81"/>
      <c r="J181" s="81"/>
    </row>
    <row r="182" spans="1:10" ht="13.5" thickBot="1" x14ac:dyDescent="0.25">
      <c r="A182" s="8" t="s">
        <v>52</v>
      </c>
      <c r="I182" s="81"/>
      <c r="J182" s="81"/>
    </row>
    <row r="183" spans="1:10" ht="13.5" thickBot="1" x14ac:dyDescent="0.25">
      <c r="A183" s="58" t="s">
        <v>54</v>
      </c>
      <c r="B183" s="59" t="s">
        <v>55</v>
      </c>
      <c r="C183" s="59" t="s">
        <v>35</v>
      </c>
      <c r="D183" s="60" t="s">
        <v>112</v>
      </c>
      <c r="E183" s="60" t="s">
        <v>56</v>
      </c>
      <c r="F183" s="61" t="s">
        <v>57</v>
      </c>
      <c r="I183" s="81"/>
      <c r="J183" s="81"/>
    </row>
    <row r="184" spans="1:10" x14ac:dyDescent="0.2">
      <c r="A184" s="168" t="s">
        <v>138</v>
      </c>
      <c r="B184" s="12" t="s">
        <v>8</v>
      </c>
      <c r="C184" s="90"/>
      <c r="D184" s="83"/>
      <c r="E184" s="13"/>
      <c r="I184" s="81"/>
      <c r="J184" s="81"/>
    </row>
    <row r="185" spans="1:10" x14ac:dyDescent="0.2">
      <c r="A185" s="11" t="s">
        <v>87</v>
      </c>
      <c r="B185" s="12" t="s">
        <v>8</v>
      </c>
      <c r="C185" s="90"/>
      <c r="D185" s="100"/>
      <c r="E185" s="13"/>
      <c r="I185" s="81"/>
      <c r="J185" s="81"/>
    </row>
    <row r="186" spans="1:10" x14ac:dyDescent="0.2">
      <c r="A186" s="11" t="s">
        <v>60</v>
      </c>
      <c r="B186" s="12" t="s">
        <v>8</v>
      </c>
      <c r="C186" s="13"/>
      <c r="D186" s="83"/>
      <c r="E186" s="13"/>
      <c r="I186" s="81"/>
      <c r="J186" s="81"/>
    </row>
    <row r="187" spans="1:10" x14ac:dyDescent="0.2">
      <c r="A187" s="176" t="s">
        <v>139</v>
      </c>
      <c r="B187" s="15" t="s">
        <v>24</v>
      </c>
      <c r="C187" s="93"/>
      <c r="D187" s="16"/>
      <c r="E187" s="16"/>
      <c r="I187" s="81"/>
      <c r="J187" s="81"/>
    </row>
    <row r="188" spans="1:10" ht="13.5" thickBot="1" x14ac:dyDescent="0.25">
      <c r="A188" s="14" t="s">
        <v>45</v>
      </c>
      <c r="B188" s="15" t="s">
        <v>16</v>
      </c>
      <c r="C188" s="88"/>
      <c r="D188" s="16"/>
      <c r="E188" s="16"/>
      <c r="I188" s="81"/>
      <c r="J188" s="81"/>
    </row>
    <row r="189" spans="1:10" ht="13.5" thickBot="1" x14ac:dyDescent="0.25">
      <c r="F189" s="19"/>
      <c r="I189" s="81"/>
      <c r="J189" s="81"/>
    </row>
    <row r="190" spans="1:10" ht="11.25" customHeight="1" x14ac:dyDescent="0.2">
      <c r="I190" s="81"/>
      <c r="J190" s="81"/>
    </row>
    <row r="191" spans="1:10" ht="11.25" customHeight="1" x14ac:dyDescent="0.2">
      <c r="A191" s="189" t="s">
        <v>180</v>
      </c>
      <c r="B191" s="189"/>
      <c r="C191" s="189"/>
      <c r="D191" s="189"/>
      <c r="I191" s="81"/>
      <c r="J191" s="81"/>
    </row>
    <row r="192" spans="1:10" ht="11.25" customHeight="1" x14ac:dyDescent="0.2">
      <c r="I192" s="81"/>
      <c r="J192" s="81"/>
    </row>
    <row r="193" spans="1:10" ht="11.25" customHeight="1" thickBot="1" x14ac:dyDescent="0.25">
      <c r="A193" s="101" t="s">
        <v>37</v>
      </c>
      <c r="I193" s="81"/>
      <c r="J193" s="81"/>
    </row>
    <row r="194" spans="1:10" ht="11.25" customHeight="1" thickBot="1" x14ac:dyDescent="0.25">
      <c r="A194" s="58" t="s">
        <v>54</v>
      </c>
      <c r="B194" s="59" t="s">
        <v>55</v>
      </c>
      <c r="C194" s="59" t="s">
        <v>35</v>
      </c>
      <c r="D194" s="60" t="s">
        <v>112</v>
      </c>
      <c r="E194" s="60" t="s">
        <v>56</v>
      </c>
      <c r="F194" s="61" t="s">
        <v>57</v>
      </c>
      <c r="I194" s="81"/>
      <c r="J194" s="81"/>
    </row>
    <row r="195" spans="1:10" ht="11.25" customHeight="1" x14ac:dyDescent="0.2">
      <c r="A195" s="11" t="s">
        <v>76</v>
      </c>
      <c r="B195" s="12" t="s">
        <v>8</v>
      </c>
      <c r="C195" s="162">
        <v>1</v>
      </c>
      <c r="D195" s="83">
        <v>145000</v>
      </c>
      <c r="E195" s="13">
        <f>C195*D195</f>
        <v>145000</v>
      </c>
      <c r="I195" s="81"/>
      <c r="J195" s="81"/>
    </row>
    <row r="196" spans="1:10" ht="11.25" customHeight="1" x14ac:dyDescent="0.2">
      <c r="A196" s="14" t="s">
        <v>72</v>
      </c>
      <c r="B196" s="15" t="s">
        <v>73</v>
      </c>
      <c r="C196" s="82">
        <v>10</v>
      </c>
      <c r="D196" s="79"/>
      <c r="E196" s="16"/>
      <c r="I196" s="81"/>
      <c r="J196" s="81"/>
    </row>
    <row r="197" spans="1:10" ht="11.25" customHeight="1" x14ac:dyDescent="0.2">
      <c r="A197" s="14" t="s">
        <v>96</v>
      </c>
      <c r="B197" s="15" t="s">
        <v>73</v>
      </c>
      <c r="C197" s="82">
        <v>0</v>
      </c>
      <c r="D197" s="16"/>
      <c r="E197" s="16"/>
      <c r="F197" s="18"/>
      <c r="I197" s="81"/>
      <c r="J197" s="81"/>
    </row>
    <row r="198" spans="1:10" ht="11.25" customHeight="1" x14ac:dyDescent="0.2">
      <c r="A198" s="14" t="s">
        <v>75</v>
      </c>
      <c r="B198" s="15" t="s">
        <v>1</v>
      </c>
      <c r="C198" s="127">
        <v>65.180000000000007</v>
      </c>
      <c r="D198" s="16">
        <f>E195</f>
        <v>145000</v>
      </c>
      <c r="E198" s="16">
        <f>C198*D198/100</f>
        <v>94511.000000000015</v>
      </c>
      <c r="I198" s="81"/>
      <c r="J198" s="81"/>
    </row>
    <row r="199" spans="1:10" ht="11.25" customHeight="1" thickBot="1" x14ac:dyDescent="0.25">
      <c r="A199" s="164" t="s">
        <v>140</v>
      </c>
      <c r="B199" s="165" t="s">
        <v>6</v>
      </c>
      <c r="C199" s="165">
        <f>C196*12</f>
        <v>120</v>
      </c>
      <c r="D199" s="166">
        <f>IF(C197&lt;=C196,E198,0)</f>
        <v>94511.000000000015</v>
      </c>
      <c r="E199" s="166">
        <f>IFERROR(D199/C199,0)</f>
        <v>787.59166666666681</v>
      </c>
      <c r="I199" s="81"/>
      <c r="J199" s="81"/>
    </row>
    <row r="200" spans="1:10" ht="11.25" customHeight="1" thickTop="1" x14ac:dyDescent="0.2">
      <c r="A200" s="111" t="s">
        <v>121</v>
      </c>
      <c r="B200" s="112"/>
      <c r="C200" s="112"/>
      <c r="D200" s="113"/>
      <c r="E200" s="114">
        <v>787.59</v>
      </c>
      <c r="I200" s="81"/>
      <c r="J200" s="81"/>
    </row>
    <row r="201" spans="1:10" ht="11.25" customHeight="1" thickBot="1" x14ac:dyDescent="0.25">
      <c r="A201" s="97" t="s">
        <v>122</v>
      </c>
      <c r="B201" s="98" t="s">
        <v>8</v>
      </c>
      <c r="C201" s="82">
        <v>1</v>
      </c>
      <c r="D201" s="99">
        <f>E200</f>
        <v>787.59</v>
      </c>
      <c r="E201" s="114">
        <f>C201*D201</f>
        <v>787.59</v>
      </c>
      <c r="I201" s="81"/>
      <c r="J201" s="81"/>
    </row>
    <row r="202" spans="1:10" ht="11.25" customHeight="1" thickBot="1" x14ac:dyDescent="0.25">
      <c r="A202" s="161"/>
      <c r="B202" s="161"/>
      <c r="C202" s="161"/>
      <c r="D202" s="116" t="s">
        <v>90</v>
      </c>
      <c r="E202" s="48">
        <v>1</v>
      </c>
      <c r="F202" s="19">
        <f>E201*E202</f>
        <v>787.59</v>
      </c>
      <c r="I202" s="81"/>
      <c r="J202" s="81"/>
    </row>
    <row r="203" spans="1:10" ht="11.25" customHeight="1" x14ac:dyDescent="0.2">
      <c r="I203" s="81"/>
      <c r="J203" s="81"/>
    </row>
    <row r="204" spans="1:10" ht="11.25" customHeight="1" thickBot="1" x14ac:dyDescent="0.25">
      <c r="A204" s="101" t="s">
        <v>80</v>
      </c>
      <c r="I204" s="81"/>
      <c r="J204" s="81"/>
    </row>
    <row r="205" spans="1:10" ht="11.25" customHeight="1" thickBot="1" x14ac:dyDescent="0.25">
      <c r="A205" s="103" t="s">
        <v>54</v>
      </c>
      <c r="B205" s="104" t="s">
        <v>55</v>
      </c>
      <c r="C205" s="104" t="s">
        <v>35</v>
      </c>
      <c r="D205" s="60" t="s">
        <v>112</v>
      </c>
      <c r="E205" s="105" t="s">
        <v>56</v>
      </c>
      <c r="F205" s="61" t="s">
        <v>57</v>
      </c>
      <c r="I205" s="81"/>
      <c r="J205" s="81"/>
    </row>
    <row r="206" spans="1:10" ht="11.25" customHeight="1" x14ac:dyDescent="0.2">
      <c r="A206" s="14" t="s">
        <v>79</v>
      </c>
      <c r="B206" s="15" t="s">
        <v>8</v>
      </c>
      <c r="C206" s="162">
        <v>1</v>
      </c>
      <c r="D206" s="16">
        <f>D195</f>
        <v>145000</v>
      </c>
      <c r="E206" s="16">
        <f>C206*D206</f>
        <v>145000</v>
      </c>
      <c r="F206" s="18"/>
      <c r="I206" s="81"/>
      <c r="J206" s="81"/>
    </row>
    <row r="207" spans="1:10" ht="11.25" customHeight="1" x14ac:dyDescent="0.2">
      <c r="A207" s="14" t="s">
        <v>98</v>
      </c>
      <c r="B207" s="15" t="s">
        <v>1</v>
      </c>
      <c r="C207" s="82">
        <v>13.25</v>
      </c>
      <c r="D207" s="16"/>
      <c r="E207" s="16"/>
      <c r="F207" s="18"/>
      <c r="I207" s="81"/>
      <c r="J207" s="81"/>
    </row>
    <row r="208" spans="1:10" ht="11.25" customHeight="1" x14ac:dyDescent="0.2">
      <c r="A208" s="14" t="s">
        <v>97</v>
      </c>
      <c r="B208" s="15" t="s">
        <v>30</v>
      </c>
      <c r="C208" s="131">
        <f>IFERROR(IF(C197&lt;=C196,E195-(C198/(100*C196)*C197)*E195,E195-E198),0)</f>
        <v>145000</v>
      </c>
      <c r="D208" s="16"/>
      <c r="E208" s="16"/>
      <c r="F208" s="18"/>
      <c r="I208" s="81"/>
      <c r="J208" s="81"/>
    </row>
    <row r="209" spans="1:10" ht="11.25" customHeight="1" x14ac:dyDescent="0.2">
      <c r="A209" s="14" t="s">
        <v>82</v>
      </c>
      <c r="B209" s="15" t="s">
        <v>30</v>
      </c>
      <c r="C209" s="79">
        <f>IFERROR(IF(C197&gt;=C196,C208,((((C208)-(E195-E198))*(((C196-C197)+1)/(2*(C196-C197))))+(E195-E198))),0)</f>
        <v>102470.04999999999</v>
      </c>
      <c r="D209" s="16"/>
      <c r="E209" s="16"/>
      <c r="F209" s="18"/>
      <c r="I209" s="81"/>
      <c r="J209" s="81"/>
    </row>
    <row r="210" spans="1:10" ht="11.25" customHeight="1" thickBot="1" x14ac:dyDescent="0.25">
      <c r="A210" s="164" t="s">
        <v>141</v>
      </c>
      <c r="B210" s="165" t="s">
        <v>30</v>
      </c>
      <c r="C210" s="165"/>
      <c r="D210" s="167">
        <f>C207*C209/12/100</f>
        <v>1131.4401354166666</v>
      </c>
      <c r="E210" s="166">
        <f>D210</f>
        <v>1131.4401354166666</v>
      </c>
      <c r="F210" s="18"/>
      <c r="I210" s="81"/>
      <c r="J210" s="81"/>
    </row>
    <row r="211" spans="1:10" ht="11.25" customHeight="1" thickTop="1" x14ac:dyDescent="0.2">
      <c r="A211" s="111" t="s">
        <v>121</v>
      </c>
      <c r="B211" s="112"/>
      <c r="C211" s="112"/>
      <c r="D211" s="113"/>
      <c r="E211" s="114">
        <f>D210</f>
        <v>1131.4401354166666</v>
      </c>
      <c r="F211" s="18"/>
      <c r="I211" s="81"/>
      <c r="J211" s="81"/>
    </row>
    <row r="212" spans="1:10" ht="11.25" customHeight="1" thickBot="1" x14ac:dyDescent="0.25">
      <c r="A212" s="97" t="s">
        <v>122</v>
      </c>
      <c r="B212" s="98" t="s">
        <v>8</v>
      </c>
      <c r="C212" s="163">
        <f>C201</f>
        <v>1</v>
      </c>
      <c r="D212" s="99">
        <f>E211</f>
        <v>1131.4401354166666</v>
      </c>
      <c r="E212" s="114">
        <f>C212*D212</f>
        <v>1131.4401354166666</v>
      </c>
      <c r="F212" s="18"/>
      <c r="I212" s="81"/>
      <c r="J212" s="81"/>
    </row>
    <row r="213" spans="1:10" ht="11.25" customHeight="1" thickBot="1" x14ac:dyDescent="0.25">
      <c r="C213" s="17"/>
      <c r="D213" s="116" t="s">
        <v>90</v>
      </c>
      <c r="E213" s="48">
        <v>1</v>
      </c>
      <c r="F213" s="19">
        <f>E212*E213</f>
        <v>1131.4401354166666</v>
      </c>
      <c r="I213" s="81"/>
      <c r="J213" s="81"/>
    </row>
    <row r="214" spans="1:10" ht="11.25" customHeight="1" x14ac:dyDescent="0.2">
      <c r="I214" s="81"/>
      <c r="J214" s="81"/>
    </row>
    <row r="215" spans="1:10" ht="11.25" customHeight="1" thickBot="1" x14ac:dyDescent="0.25">
      <c r="A215" s="6" t="s">
        <v>145</v>
      </c>
      <c r="I215" s="81"/>
      <c r="J215" s="81"/>
    </row>
    <row r="216" spans="1:10" ht="11.25" customHeight="1" thickBot="1" x14ac:dyDescent="0.25">
      <c r="A216" s="58" t="s">
        <v>54</v>
      </c>
      <c r="B216" s="59" t="s">
        <v>55</v>
      </c>
      <c r="C216" s="59" t="s">
        <v>35</v>
      </c>
      <c r="D216" s="60" t="s">
        <v>112</v>
      </c>
      <c r="E216" s="60" t="s">
        <v>56</v>
      </c>
      <c r="F216" s="61" t="s">
        <v>57</v>
      </c>
      <c r="I216" s="81"/>
      <c r="J216" s="81"/>
    </row>
    <row r="217" spans="1:10" ht="11.25" customHeight="1" x14ac:dyDescent="0.2">
      <c r="A217" s="11" t="s">
        <v>10</v>
      </c>
      <c r="B217" s="12" t="s">
        <v>8</v>
      </c>
      <c r="C217" s="13">
        <f>C201</f>
        <v>1</v>
      </c>
      <c r="D217" s="13">
        <v>1450</v>
      </c>
      <c r="E217" s="13">
        <f>C217*D217</f>
        <v>1450</v>
      </c>
      <c r="I217" s="81"/>
      <c r="J217" s="81"/>
    </row>
    <row r="218" spans="1:10" ht="11.25" customHeight="1" x14ac:dyDescent="0.2">
      <c r="A218" s="14" t="s">
        <v>89</v>
      </c>
      <c r="B218" s="15" t="s">
        <v>8</v>
      </c>
      <c r="C218" s="13">
        <f>C201</f>
        <v>1</v>
      </c>
      <c r="D218" s="84">
        <v>140</v>
      </c>
      <c r="E218" s="16">
        <f>C218*D218</f>
        <v>140</v>
      </c>
      <c r="I218" s="81"/>
      <c r="J218" s="81"/>
    </row>
    <row r="219" spans="1:10" ht="11.25" customHeight="1" x14ac:dyDescent="0.2">
      <c r="A219" s="14" t="s">
        <v>11</v>
      </c>
      <c r="B219" s="15" t="s">
        <v>8</v>
      </c>
      <c r="C219" s="13">
        <f>C201</f>
        <v>1</v>
      </c>
      <c r="D219" s="84">
        <v>3000</v>
      </c>
      <c r="E219" s="16">
        <f>C219*D219</f>
        <v>3000</v>
      </c>
      <c r="F219" s="29"/>
      <c r="I219" s="81"/>
      <c r="J219" s="81"/>
    </row>
    <row r="220" spans="1:10" ht="11.25" customHeight="1" thickBot="1" x14ac:dyDescent="0.25">
      <c r="A220" s="97" t="s">
        <v>12</v>
      </c>
      <c r="B220" s="98" t="s">
        <v>6</v>
      </c>
      <c r="C220" s="98">
        <v>12</v>
      </c>
      <c r="D220" s="99">
        <f>SUM(E217:E219)</f>
        <v>4590</v>
      </c>
      <c r="E220" s="99">
        <f>D220/C220</f>
        <v>382.5</v>
      </c>
      <c r="I220" s="81"/>
      <c r="J220" s="81"/>
    </row>
    <row r="221" spans="1:10" ht="11.25" customHeight="1" thickBot="1" x14ac:dyDescent="0.25">
      <c r="D221" s="116" t="s">
        <v>90</v>
      </c>
      <c r="E221" s="48">
        <v>1</v>
      </c>
      <c r="F221" s="117">
        <f>E220*E221</f>
        <v>382.5</v>
      </c>
      <c r="I221" s="81"/>
      <c r="J221" s="81"/>
    </row>
    <row r="222" spans="1:10" ht="11.25" customHeight="1" x14ac:dyDescent="0.2">
      <c r="I222" s="81"/>
      <c r="J222" s="81"/>
    </row>
    <row r="223" spans="1:10" ht="11.25" customHeight="1" x14ac:dyDescent="0.2">
      <c r="A223" s="6" t="s">
        <v>146</v>
      </c>
      <c r="B223" s="30"/>
      <c r="I223" s="81"/>
      <c r="J223" s="81"/>
    </row>
    <row r="224" spans="1:10" ht="11.25" customHeight="1" x14ac:dyDescent="0.2">
      <c r="B224" s="30"/>
      <c r="I224" s="81"/>
      <c r="J224" s="81"/>
    </row>
    <row r="225" spans="1:10" ht="11.25" customHeight="1" x14ac:dyDescent="0.2">
      <c r="A225" s="97" t="s">
        <v>85</v>
      </c>
      <c r="B225" s="108">
        <v>800</v>
      </c>
      <c r="I225" s="81"/>
      <c r="J225" s="81"/>
    </row>
    <row r="226" spans="1:10" ht="11.25" customHeight="1" thickBot="1" x14ac:dyDescent="0.25">
      <c r="B226" s="30"/>
      <c r="I226" s="81"/>
      <c r="J226" s="81"/>
    </row>
    <row r="227" spans="1:10" ht="11.25" customHeight="1" thickBot="1" x14ac:dyDescent="0.25">
      <c r="A227" s="58" t="s">
        <v>54</v>
      </c>
      <c r="B227" s="59" t="s">
        <v>55</v>
      </c>
      <c r="C227" s="59" t="s">
        <v>120</v>
      </c>
      <c r="D227" s="60" t="s">
        <v>112</v>
      </c>
      <c r="E227" s="60" t="s">
        <v>56</v>
      </c>
      <c r="F227" s="61" t="s">
        <v>57</v>
      </c>
      <c r="I227" s="81"/>
      <c r="J227" s="81"/>
    </row>
    <row r="228" spans="1:10" ht="11.25" customHeight="1" x14ac:dyDescent="0.2">
      <c r="A228" s="11" t="s">
        <v>13</v>
      </c>
      <c r="B228" s="12" t="s">
        <v>14</v>
      </c>
      <c r="C228" s="91">
        <v>7.5</v>
      </c>
      <c r="D228" s="92">
        <v>7</v>
      </c>
      <c r="E228" s="13"/>
      <c r="I228" s="81"/>
      <c r="J228" s="81"/>
    </row>
    <row r="229" spans="1:10" ht="11.25" customHeight="1" x14ac:dyDescent="0.2">
      <c r="A229" s="14" t="s">
        <v>15</v>
      </c>
      <c r="B229" s="15" t="s">
        <v>16</v>
      </c>
      <c r="C229" s="88">
        <f>B225</f>
        <v>800</v>
      </c>
      <c r="D229" s="160">
        <f>IFERROR(+D228/C228,"-")</f>
        <v>0.93333333333333335</v>
      </c>
      <c r="E229" s="16">
        <f>IFERROR(C229*D229,"-")</f>
        <v>746.66666666666663</v>
      </c>
      <c r="I229" s="81"/>
      <c r="J229" s="81"/>
    </row>
    <row r="230" spans="1:10" ht="11.25" customHeight="1" x14ac:dyDescent="0.2">
      <c r="A230" s="14" t="s">
        <v>113</v>
      </c>
      <c r="B230" s="15" t="s">
        <v>17</v>
      </c>
      <c r="C230" s="94">
        <v>0.5</v>
      </c>
      <c r="D230" s="84">
        <v>19.77</v>
      </c>
      <c r="E230" s="16"/>
      <c r="I230" s="81"/>
      <c r="J230" s="81"/>
    </row>
    <row r="231" spans="1:10" ht="11.25" customHeight="1" x14ac:dyDescent="0.2">
      <c r="A231" s="14" t="s">
        <v>18</v>
      </c>
      <c r="B231" s="15" t="s">
        <v>16</v>
      </c>
      <c r="C231" s="88">
        <f>C229</f>
        <v>800</v>
      </c>
      <c r="D231" s="157">
        <f>+C230*D230/1000</f>
        <v>9.8849999999999997E-3</v>
      </c>
      <c r="E231" s="16">
        <f>C231*D231</f>
        <v>7.9079999999999995</v>
      </c>
      <c r="I231" s="81"/>
      <c r="J231" s="81"/>
    </row>
    <row r="232" spans="1:10" ht="11.25" customHeight="1" x14ac:dyDescent="0.2">
      <c r="A232" s="14" t="s">
        <v>114</v>
      </c>
      <c r="B232" s="15" t="s">
        <v>17</v>
      </c>
      <c r="C232" s="94">
        <v>0.15</v>
      </c>
      <c r="D232" s="84">
        <v>35</v>
      </c>
      <c r="E232" s="16"/>
      <c r="I232" s="81"/>
      <c r="J232" s="81"/>
    </row>
    <row r="233" spans="1:10" ht="11.25" customHeight="1" x14ac:dyDescent="0.2">
      <c r="A233" s="14" t="s">
        <v>19</v>
      </c>
      <c r="B233" s="15" t="s">
        <v>16</v>
      </c>
      <c r="C233" s="88">
        <f>C229</f>
        <v>800</v>
      </c>
      <c r="D233" s="157">
        <f>+C232*D232/1000</f>
        <v>5.2500000000000003E-3</v>
      </c>
      <c r="E233" s="16">
        <f>C233*D233</f>
        <v>4.2</v>
      </c>
      <c r="I233" s="81"/>
      <c r="J233" s="81"/>
    </row>
    <row r="234" spans="1:10" ht="11.25" customHeight="1" x14ac:dyDescent="0.2">
      <c r="A234" s="14" t="s">
        <v>115</v>
      </c>
      <c r="B234" s="15" t="s">
        <v>17</v>
      </c>
      <c r="C234" s="94">
        <v>0.15</v>
      </c>
      <c r="D234" s="84">
        <v>26</v>
      </c>
      <c r="E234" s="16"/>
      <c r="I234" s="81"/>
      <c r="J234" s="81"/>
    </row>
    <row r="235" spans="1:10" ht="11.25" customHeight="1" x14ac:dyDescent="0.2">
      <c r="A235" s="14" t="s">
        <v>20</v>
      </c>
      <c r="B235" s="15" t="s">
        <v>16</v>
      </c>
      <c r="C235" s="88">
        <f>C229</f>
        <v>800</v>
      </c>
      <c r="D235" s="157">
        <f>+C234*D234/1000</f>
        <v>3.8999999999999998E-3</v>
      </c>
      <c r="E235" s="16">
        <f>C235*D235</f>
        <v>3.1199999999999997</v>
      </c>
      <c r="I235" s="81"/>
      <c r="J235" s="81"/>
    </row>
    <row r="236" spans="1:10" ht="11.25" customHeight="1" x14ac:dyDescent="0.2">
      <c r="A236" s="14" t="s">
        <v>21</v>
      </c>
      <c r="B236" s="15" t="s">
        <v>22</v>
      </c>
      <c r="C236" s="94">
        <v>0.3</v>
      </c>
      <c r="D236" s="84">
        <v>23</v>
      </c>
      <c r="E236" s="16"/>
      <c r="I236" s="81"/>
      <c r="J236" s="81"/>
    </row>
    <row r="237" spans="1:10" ht="11.25" customHeight="1" x14ac:dyDescent="0.2">
      <c r="A237" s="14" t="s">
        <v>23</v>
      </c>
      <c r="B237" s="15" t="s">
        <v>16</v>
      </c>
      <c r="C237" s="88">
        <f>C229</f>
        <v>800</v>
      </c>
      <c r="D237" s="157">
        <f>+C236*D236/1000</f>
        <v>6.8999999999999999E-3</v>
      </c>
      <c r="E237" s="16">
        <f>C237*D237</f>
        <v>5.52</v>
      </c>
      <c r="I237" s="81"/>
      <c r="J237" s="81"/>
    </row>
    <row r="238" spans="1:10" ht="11.25" customHeight="1" thickBot="1" x14ac:dyDescent="0.25">
      <c r="A238" s="97" t="s">
        <v>119</v>
      </c>
      <c r="B238" s="98" t="s">
        <v>86</v>
      </c>
      <c r="C238" s="158"/>
      <c r="D238" s="159">
        <f>IFERROR(D229+D231+D233+D235+D237,0)</f>
        <v>0.95926833333333339</v>
      </c>
      <c r="E238" s="16"/>
      <c r="I238" s="81"/>
      <c r="J238" s="81"/>
    </row>
    <row r="239" spans="1:10" ht="11.25" customHeight="1" thickBot="1" x14ac:dyDescent="0.25">
      <c r="F239" s="19">
        <f>SUM(E228:E237)</f>
        <v>767.41466666666668</v>
      </c>
      <c r="I239" s="81"/>
      <c r="J239" s="81"/>
    </row>
    <row r="240" spans="1:10" ht="11.25" customHeight="1" x14ac:dyDescent="0.2">
      <c r="I240" s="81"/>
      <c r="J240" s="81"/>
    </row>
    <row r="241" spans="1:10" ht="11.25" customHeight="1" thickBot="1" x14ac:dyDescent="0.25">
      <c r="A241" s="6" t="s">
        <v>147</v>
      </c>
      <c r="I241" s="81"/>
      <c r="J241" s="81"/>
    </row>
    <row r="242" spans="1:10" ht="11.25" customHeight="1" thickBot="1" x14ac:dyDescent="0.25">
      <c r="A242" s="58" t="s">
        <v>54</v>
      </c>
      <c r="B242" s="59" t="s">
        <v>55</v>
      </c>
      <c r="C242" s="59" t="s">
        <v>35</v>
      </c>
      <c r="D242" s="60" t="s">
        <v>112</v>
      </c>
      <c r="E242" s="60" t="s">
        <v>56</v>
      </c>
      <c r="F242" s="61" t="s">
        <v>57</v>
      </c>
      <c r="I242" s="81"/>
      <c r="J242" s="81"/>
    </row>
    <row r="243" spans="1:10" ht="11.25" customHeight="1" thickBot="1" x14ac:dyDescent="0.25">
      <c r="A243" s="11" t="s">
        <v>84</v>
      </c>
      <c r="B243" s="12" t="s">
        <v>86</v>
      </c>
      <c r="C243" s="88">
        <f>C229</f>
        <v>800</v>
      </c>
      <c r="D243" s="170">
        <v>0.37</v>
      </c>
      <c r="E243" s="13">
        <f>C243*D243</f>
        <v>296</v>
      </c>
      <c r="I243" s="81"/>
      <c r="J243" s="81"/>
    </row>
    <row r="244" spans="1:10" ht="11.25" customHeight="1" thickBot="1" x14ac:dyDescent="0.25">
      <c r="F244" s="19">
        <f>E243</f>
        <v>296</v>
      </c>
      <c r="I244" s="81"/>
      <c r="J244" s="81"/>
    </row>
    <row r="245" spans="1:10" ht="11.25" customHeight="1" x14ac:dyDescent="0.2">
      <c r="I245" s="81"/>
      <c r="J245" s="81"/>
    </row>
    <row r="246" spans="1:10" ht="11.25" customHeight="1" thickBot="1" x14ac:dyDescent="0.25">
      <c r="A246" s="6" t="s">
        <v>148</v>
      </c>
      <c r="I246" s="81"/>
      <c r="J246" s="81"/>
    </row>
    <row r="247" spans="1:10" ht="11.25" customHeight="1" thickBot="1" x14ac:dyDescent="0.25">
      <c r="A247" s="58" t="s">
        <v>54</v>
      </c>
      <c r="B247" s="59" t="s">
        <v>55</v>
      </c>
      <c r="C247" s="59" t="s">
        <v>35</v>
      </c>
      <c r="D247" s="60" t="s">
        <v>112</v>
      </c>
      <c r="E247" s="60" t="s">
        <v>56</v>
      </c>
      <c r="F247" s="61" t="s">
        <v>57</v>
      </c>
      <c r="I247" s="81"/>
      <c r="J247" s="81"/>
    </row>
    <row r="248" spans="1:10" ht="11.25" customHeight="1" x14ac:dyDescent="0.2">
      <c r="A248" s="168" t="s">
        <v>149</v>
      </c>
      <c r="B248" s="12" t="s">
        <v>8</v>
      </c>
      <c r="C248" s="90">
        <v>4</v>
      </c>
      <c r="D248" s="83">
        <v>750</v>
      </c>
      <c r="E248" s="13">
        <f>C248*D248</f>
        <v>3000</v>
      </c>
      <c r="I248" s="81"/>
      <c r="J248" s="81"/>
    </row>
    <row r="249" spans="1:10" ht="11.25" customHeight="1" x14ac:dyDescent="0.2">
      <c r="A249" s="11" t="s">
        <v>87</v>
      </c>
      <c r="B249" s="12" t="s">
        <v>8</v>
      </c>
      <c r="C249" s="90">
        <v>3</v>
      </c>
      <c r="D249" s="100"/>
      <c r="E249" s="13"/>
      <c r="I249" s="81"/>
      <c r="J249" s="81"/>
    </row>
    <row r="250" spans="1:10" ht="11.25" customHeight="1" x14ac:dyDescent="0.2">
      <c r="A250" s="11" t="s">
        <v>60</v>
      </c>
      <c r="B250" s="12" t="s">
        <v>8</v>
      </c>
      <c r="C250" s="13">
        <f>C248*C249</f>
        <v>12</v>
      </c>
      <c r="D250" s="83">
        <v>500</v>
      </c>
      <c r="E250" s="13">
        <f>C250*D250</f>
        <v>6000</v>
      </c>
      <c r="I250" s="81"/>
      <c r="J250" s="81"/>
    </row>
    <row r="251" spans="1:10" ht="11.25" customHeight="1" x14ac:dyDescent="0.2">
      <c r="A251" s="176" t="s">
        <v>139</v>
      </c>
      <c r="B251" s="15" t="s">
        <v>24</v>
      </c>
      <c r="C251" s="93">
        <v>50000</v>
      </c>
      <c r="D251" s="16">
        <f>E248+E250</f>
        <v>9000</v>
      </c>
      <c r="E251" s="16">
        <f>IFERROR(D251/C251,"-")</f>
        <v>0.18</v>
      </c>
      <c r="I251" s="81"/>
      <c r="J251" s="81"/>
    </row>
    <row r="252" spans="1:10" ht="11.25" customHeight="1" thickBot="1" x14ac:dyDescent="0.25">
      <c r="A252" s="14" t="s">
        <v>45</v>
      </c>
      <c r="B252" s="15" t="s">
        <v>16</v>
      </c>
      <c r="C252" s="88">
        <f>B225</f>
        <v>800</v>
      </c>
      <c r="D252" s="16">
        <f>E251</f>
        <v>0.18</v>
      </c>
      <c r="E252" s="16">
        <f>IFERROR(C252*D252,0)</f>
        <v>144</v>
      </c>
      <c r="I252" s="81"/>
      <c r="J252" s="81"/>
    </row>
    <row r="253" spans="1:10" ht="11.25" customHeight="1" thickBot="1" x14ac:dyDescent="0.25">
      <c r="F253" s="19">
        <f>E252</f>
        <v>144</v>
      </c>
      <c r="G253" s="8"/>
    </row>
    <row r="254" spans="1:10" ht="11.25" customHeight="1" thickBot="1" x14ac:dyDescent="0.25">
      <c r="F254" s="19"/>
      <c r="G254" s="8"/>
    </row>
    <row r="255" spans="1:10" ht="13.5" thickBot="1" x14ac:dyDescent="0.25">
      <c r="A255" s="22" t="s">
        <v>103</v>
      </c>
      <c r="B255" s="23"/>
      <c r="C255" s="23"/>
      <c r="D255" s="24"/>
      <c r="E255" s="25"/>
      <c r="F255" s="19">
        <f>+SUM(F121:F253)</f>
        <v>3508.9448020833333</v>
      </c>
      <c r="G255" s="8"/>
    </row>
    <row r="256" spans="1:10" ht="11.25" customHeight="1" x14ac:dyDescent="0.2">
      <c r="G256" s="8"/>
    </row>
    <row r="257" spans="1:7" x14ac:dyDescent="0.2">
      <c r="A257" s="32" t="s">
        <v>63</v>
      </c>
      <c r="B257" s="32"/>
      <c r="C257" s="32"/>
      <c r="D257" s="33"/>
      <c r="E257" s="33"/>
      <c r="F257" s="31"/>
      <c r="G257" s="8"/>
    </row>
    <row r="258" spans="1:7" ht="11.25" customHeight="1" thickBot="1" x14ac:dyDescent="0.25">
      <c r="G258" s="8"/>
    </row>
    <row r="259" spans="1:7" ht="13.5" thickBot="1" x14ac:dyDescent="0.25">
      <c r="A259" s="58" t="s">
        <v>54</v>
      </c>
      <c r="B259" s="59" t="s">
        <v>55</v>
      </c>
      <c r="C259" s="59" t="s">
        <v>35</v>
      </c>
      <c r="D259" s="60" t="s">
        <v>112</v>
      </c>
      <c r="E259" s="60" t="s">
        <v>56</v>
      </c>
      <c r="F259" s="61" t="s">
        <v>57</v>
      </c>
      <c r="G259" s="8"/>
    </row>
    <row r="260" spans="1:7" x14ac:dyDescent="0.2">
      <c r="A260" s="14" t="s">
        <v>61</v>
      </c>
      <c r="B260" s="15" t="s">
        <v>8</v>
      </c>
      <c r="C260" s="95">
        <v>1</v>
      </c>
      <c r="D260" s="83">
        <v>50</v>
      </c>
      <c r="E260" s="16">
        <f>D260*C260/12</f>
        <v>4.166666666666667</v>
      </c>
      <c r="F260" s="53"/>
      <c r="G260" s="8"/>
    </row>
    <row r="261" spans="1:7" x14ac:dyDescent="0.2">
      <c r="A261" s="14" t="s">
        <v>25</v>
      </c>
      <c r="B261" s="15" t="s">
        <v>8</v>
      </c>
      <c r="C261" s="95">
        <v>1</v>
      </c>
      <c r="D261" s="83">
        <v>20</v>
      </c>
      <c r="E261" s="16">
        <f>D261*C261/12</f>
        <v>1.6666666666666667</v>
      </c>
      <c r="F261" s="53"/>
      <c r="G261" s="8"/>
    </row>
    <row r="262" spans="1:7" x14ac:dyDescent="0.2">
      <c r="A262" s="176" t="s">
        <v>155</v>
      </c>
      <c r="B262" s="15" t="s">
        <v>8</v>
      </c>
      <c r="C262" s="95">
        <v>1</v>
      </c>
      <c r="D262" s="83">
        <v>32.5</v>
      </c>
      <c r="E262" s="16">
        <f>C262*D262/12</f>
        <v>2.7083333333333335</v>
      </c>
      <c r="F262" s="53"/>
      <c r="G262" s="8"/>
    </row>
    <row r="263" spans="1:7" x14ac:dyDescent="0.2">
      <c r="A263" s="176" t="s">
        <v>157</v>
      </c>
      <c r="B263" s="177" t="s">
        <v>8</v>
      </c>
      <c r="C263" s="95">
        <v>1</v>
      </c>
      <c r="D263" s="83">
        <v>34.72</v>
      </c>
      <c r="E263" s="16">
        <f>C263*D263/12</f>
        <v>2.8933333333333331</v>
      </c>
      <c r="F263" s="53"/>
      <c r="G263" s="8"/>
    </row>
    <row r="264" spans="1:7" x14ac:dyDescent="0.2">
      <c r="A264" s="176" t="s">
        <v>167</v>
      </c>
      <c r="B264" s="177" t="s">
        <v>8</v>
      </c>
      <c r="C264" s="95">
        <v>1</v>
      </c>
      <c r="D264" s="83">
        <v>22.25</v>
      </c>
      <c r="E264" s="16">
        <f>D264*C264/12</f>
        <v>1.8541666666666667</v>
      </c>
      <c r="F264" s="53"/>
      <c r="G264" s="8"/>
    </row>
    <row r="265" spans="1:7" x14ac:dyDescent="0.2">
      <c r="A265" s="176" t="s">
        <v>168</v>
      </c>
      <c r="B265" s="177" t="s">
        <v>8</v>
      </c>
      <c r="C265" s="95">
        <v>1</v>
      </c>
      <c r="D265" s="83">
        <v>25</v>
      </c>
      <c r="E265" s="16">
        <f>D265*C265/12</f>
        <v>2.0833333333333335</v>
      </c>
      <c r="F265" s="53"/>
      <c r="G265" s="8"/>
    </row>
    <row r="266" spans="1:7" x14ac:dyDescent="0.2">
      <c r="A266" s="176" t="s">
        <v>183</v>
      </c>
      <c r="B266" s="177" t="s">
        <v>8</v>
      </c>
      <c r="C266" s="95">
        <v>1</v>
      </c>
      <c r="D266" s="83">
        <v>2349</v>
      </c>
      <c r="E266" s="16">
        <f>D266*C266/24</f>
        <v>97.875</v>
      </c>
      <c r="F266" s="53"/>
      <c r="G266" s="8"/>
    </row>
    <row r="267" spans="1:7" x14ac:dyDescent="0.2">
      <c r="A267" s="176" t="s">
        <v>160</v>
      </c>
      <c r="B267" s="177" t="s">
        <v>8</v>
      </c>
      <c r="C267" s="95">
        <v>1</v>
      </c>
      <c r="D267" s="83">
        <v>60</v>
      </c>
      <c r="E267" s="16">
        <f>C267*D267/12</f>
        <v>5</v>
      </c>
      <c r="F267" s="53"/>
      <c r="G267" s="8"/>
    </row>
    <row r="268" spans="1:7" x14ac:dyDescent="0.2">
      <c r="A268" s="176" t="s">
        <v>169</v>
      </c>
      <c r="B268" s="177" t="s">
        <v>170</v>
      </c>
      <c r="C268" s="95">
        <v>1</v>
      </c>
      <c r="D268" s="83">
        <v>268.75</v>
      </c>
      <c r="E268" s="16">
        <f>C268*D268/4</f>
        <v>67.1875</v>
      </c>
      <c r="F268" s="53"/>
      <c r="G268" s="8"/>
    </row>
    <row r="269" spans="1:7" x14ac:dyDescent="0.2">
      <c r="A269" s="176" t="s">
        <v>184</v>
      </c>
      <c r="B269" s="177" t="s">
        <v>153</v>
      </c>
      <c r="C269" s="95">
        <v>90</v>
      </c>
      <c r="D269" s="83">
        <v>6.5</v>
      </c>
      <c r="E269" s="16">
        <f>C269*D269</f>
        <v>585</v>
      </c>
      <c r="F269" s="53"/>
      <c r="G269" s="8"/>
    </row>
    <row r="270" spans="1:7" x14ac:dyDescent="0.2">
      <c r="A270" s="176" t="s">
        <v>185</v>
      </c>
      <c r="B270" s="177" t="s">
        <v>8</v>
      </c>
      <c r="C270" s="95">
        <v>1</v>
      </c>
      <c r="D270" s="83">
        <v>1150</v>
      </c>
      <c r="E270" s="16">
        <f>C270*D270/24</f>
        <v>47.916666666666664</v>
      </c>
      <c r="F270" s="53"/>
      <c r="G270" s="8"/>
    </row>
    <row r="271" spans="1:7" x14ac:dyDescent="0.2">
      <c r="A271" s="176" t="s">
        <v>178</v>
      </c>
      <c r="B271" s="177" t="s">
        <v>8</v>
      </c>
      <c r="C271" s="95">
        <v>1</v>
      </c>
      <c r="D271" s="83">
        <v>72.5</v>
      </c>
      <c r="E271" s="16">
        <f>C271*D271/12</f>
        <v>6.041666666666667</v>
      </c>
      <c r="F271" s="53"/>
      <c r="G271" s="8"/>
    </row>
    <row r="272" spans="1:7" x14ac:dyDescent="0.2">
      <c r="A272" s="176" t="s">
        <v>156</v>
      </c>
      <c r="B272" s="177" t="s">
        <v>8</v>
      </c>
      <c r="C272" s="95">
        <v>1</v>
      </c>
      <c r="D272" s="83">
        <v>165</v>
      </c>
      <c r="E272" s="16">
        <f>C272*D272/12</f>
        <v>13.75</v>
      </c>
      <c r="F272" s="53"/>
      <c r="G272" s="8"/>
    </row>
    <row r="273" spans="1:7" x14ac:dyDescent="0.2">
      <c r="A273" s="176" t="s">
        <v>151</v>
      </c>
      <c r="B273" s="177" t="s">
        <v>152</v>
      </c>
      <c r="C273" s="95">
        <v>15</v>
      </c>
      <c r="D273" s="83">
        <v>1.7</v>
      </c>
      <c r="E273" s="16">
        <f>C273*D273</f>
        <v>25.5</v>
      </c>
      <c r="F273" s="53"/>
      <c r="G273" s="8"/>
    </row>
    <row r="274" spans="1:7" x14ac:dyDescent="0.2">
      <c r="A274" s="176" t="s">
        <v>158</v>
      </c>
      <c r="B274" s="177" t="s">
        <v>8</v>
      </c>
      <c r="C274" s="95">
        <v>1</v>
      </c>
      <c r="D274" s="83">
        <v>5.37</v>
      </c>
      <c r="E274" s="16">
        <f>C274*D274</f>
        <v>5.37</v>
      </c>
      <c r="F274" s="53"/>
      <c r="G274" s="8"/>
    </row>
    <row r="275" spans="1:7" x14ac:dyDescent="0.2">
      <c r="A275" s="176" t="s">
        <v>171</v>
      </c>
      <c r="B275" s="177" t="s">
        <v>8</v>
      </c>
      <c r="C275" s="95">
        <v>2</v>
      </c>
      <c r="D275" s="83">
        <v>31.25</v>
      </c>
      <c r="E275" s="16">
        <f>C275*D275/12</f>
        <v>5.208333333333333</v>
      </c>
      <c r="F275" s="53"/>
      <c r="G275" s="8"/>
    </row>
    <row r="276" spans="1:7" x14ac:dyDescent="0.2">
      <c r="A276" s="176" t="s">
        <v>172</v>
      </c>
      <c r="B276" s="177" t="s">
        <v>8</v>
      </c>
      <c r="C276" s="95">
        <v>2</v>
      </c>
      <c r="D276" s="83">
        <v>13</v>
      </c>
      <c r="E276" s="16">
        <f>C276*D276/12</f>
        <v>2.1666666666666665</v>
      </c>
      <c r="F276" s="53"/>
      <c r="G276" s="8"/>
    </row>
    <row r="277" spans="1:7" x14ac:dyDescent="0.2">
      <c r="A277" s="176" t="s">
        <v>173</v>
      </c>
      <c r="B277" s="177" t="s">
        <v>8</v>
      </c>
      <c r="C277" s="95">
        <v>1</v>
      </c>
      <c r="D277" s="83">
        <v>140</v>
      </c>
      <c r="E277" s="16">
        <f>C277*D277/12</f>
        <v>11.666666666666666</v>
      </c>
      <c r="F277" s="53"/>
      <c r="G277" s="8"/>
    </row>
    <row r="278" spans="1:7" x14ac:dyDescent="0.2">
      <c r="A278" s="176" t="s">
        <v>154</v>
      </c>
      <c r="B278" s="177" t="s">
        <v>8</v>
      </c>
      <c r="C278" s="95">
        <v>1</v>
      </c>
      <c r="D278" s="83">
        <v>320</v>
      </c>
      <c r="E278" s="16">
        <f>C278*D278/18</f>
        <v>17.777777777777779</v>
      </c>
      <c r="F278" s="53"/>
      <c r="G278" s="8"/>
    </row>
    <row r="279" spans="1:7" x14ac:dyDescent="0.2">
      <c r="A279" s="176" t="s">
        <v>159</v>
      </c>
      <c r="B279" s="177" t="s">
        <v>8</v>
      </c>
      <c r="C279" s="95">
        <v>10</v>
      </c>
      <c r="D279" s="83">
        <v>0.7</v>
      </c>
      <c r="E279" s="16">
        <f>C279*D279</f>
        <v>7</v>
      </c>
      <c r="F279" s="53"/>
      <c r="G279" s="8"/>
    </row>
    <row r="280" spans="1:7" x14ac:dyDescent="0.2">
      <c r="A280" s="14" t="s">
        <v>47</v>
      </c>
      <c r="B280" s="15" t="s">
        <v>48</v>
      </c>
      <c r="C280" s="95">
        <v>0.16666666666666666</v>
      </c>
      <c r="D280" s="83">
        <v>5</v>
      </c>
      <c r="E280" s="16">
        <f>C280*D280</f>
        <v>0.83333333333333326</v>
      </c>
      <c r="F280" s="53"/>
      <c r="G280" s="8"/>
    </row>
    <row r="281" spans="1:7" ht="13.5" thickBot="1" x14ac:dyDescent="0.25">
      <c r="A281" s="14" t="s">
        <v>50</v>
      </c>
      <c r="B281" s="15" t="s">
        <v>48</v>
      </c>
      <c r="C281" s="95">
        <v>8.3333333333333329E-2</v>
      </c>
      <c r="D281" s="83">
        <v>50</v>
      </c>
      <c r="E281" s="16">
        <f>C281*D281</f>
        <v>4.1666666666666661</v>
      </c>
      <c r="F281" s="53"/>
      <c r="G281" s="8"/>
    </row>
    <row r="282" spans="1:7" ht="13.5" thickBot="1" x14ac:dyDescent="0.25">
      <c r="A282" s="32"/>
      <c r="B282" s="32"/>
      <c r="C282" s="32"/>
      <c r="D282" s="32"/>
      <c r="E282" s="33"/>
      <c r="F282" s="19">
        <f>SUM(E260:E281)</f>
        <v>917.83277777777766</v>
      </c>
      <c r="G282" s="8"/>
    </row>
    <row r="283" spans="1:7" ht="11.25" customHeight="1" thickBot="1" x14ac:dyDescent="0.25">
      <c r="G283" s="8"/>
    </row>
    <row r="284" spans="1:7" ht="13.5" thickBot="1" x14ac:dyDescent="0.25">
      <c r="A284" s="22" t="s">
        <v>104</v>
      </c>
      <c r="B284" s="23"/>
      <c r="C284" s="23"/>
      <c r="D284" s="24"/>
      <c r="E284" s="25"/>
      <c r="F284" s="19">
        <f>+F282</f>
        <v>917.83277777777766</v>
      </c>
      <c r="G284" s="8"/>
    </row>
    <row r="285" spans="1:7" ht="11.25" customHeight="1" x14ac:dyDescent="0.2">
      <c r="G285" s="8"/>
    </row>
    <row r="286" spans="1:7" x14ac:dyDescent="0.2">
      <c r="A286" s="32" t="s">
        <v>64</v>
      </c>
      <c r="B286" s="32"/>
      <c r="C286" s="32"/>
      <c r="D286" s="33"/>
      <c r="E286" s="33"/>
      <c r="F286" s="31"/>
    </row>
    <row r="287" spans="1:7" ht="11.25" customHeight="1" thickBot="1" x14ac:dyDescent="0.25"/>
    <row r="288" spans="1:7" ht="13.5" thickBot="1" x14ac:dyDescent="0.25">
      <c r="A288" s="58" t="s">
        <v>54</v>
      </c>
      <c r="B288" s="59" t="s">
        <v>55</v>
      </c>
      <c r="C288" s="59" t="s">
        <v>35</v>
      </c>
      <c r="D288" s="60" t="s">
        <v>112</v>
      </c>
      <c r="E288" s="60" t="s">
        <v>56</v>
      </c>
      <c r="F288" s="61" t="s">
        <v>57</v>
      </c>
    </row>
    <row r="289" spans="1:7" x14ac:dyDescent="0.2">
      <c r="A289" s="14" t="s">
        <v>101</v>
      </c>
      <c r="B289" s="51" t="s">
        <v>48</v>
      </c>
      <c r="C289" s="66"/>
      <c r="D289" s="84"/>
      <c r="E289" s="16"/>
      <c r="F289" s="53"/>
    </row>
    <row r="290" spans="1:7" x14ac:dyDescent="0.2">
      <c r="A290" s="14" t="s">
        <v>51</v>
      </c>
      <c r="B290" s="51" t="s">
        <v>6</v>
      </c>
      <c r="C290" s="136"/>
      <c r="D290" s="76"/>
      <c r="E290" s="76"/>
      <c r="F290" s="53"/>
    </row>
    <row r="291" spans="1:7" x14ac:dyDescent="0.2">
      <c r="A291" s="14" t="s">
        <v>102</v>
      </c>
      <c r="B291" s="15" t="s">
        <v>8</v>
      </c>
      <c r="C291" s="66"/>
      <c r="D291" s="84"/>
      <c r="E291" s="16"/>
      <c r="F291" s="53"/>
    </row>
    <row r="292" spans="1:7" ht="13.5" thickBot="1" x14ac:dyDescent="0.25">
      <c r="A292" s="14" t="s">
        <v>32</v>
      </c>
      <c r="B292" s="51" t="s">
        <v>6</v>
      </c>
      <c r="C292" s="136"/>
      <c r="D292" s="76"/>
      <c r="E292" s="76"/>
      <c r="F292" s="53"/>
    </row>
    <row r="293" spans="1:7" ht="13.5" thickBot="1" x14ac:dyDescent="0.25">
      <c r="A293" s="77"/>
      <c r="B293" s="77"/>
      <c r="C293" s="77"/>
      <c r="D293" s="116" t="s">
        <v>90</v>
      </c>
      <c r="E293" s="48"/>
      <c r="F293" s="78"/>
    </row>
    <row r="294" spans="1:7" s="49" customFormat="1" ht="11.25" customHeight="1" thickBot="1" x14ac:dyDescent="0.25">
      <c r="A294" s="8"/>
      <c r="B294" s="8"/>
      <c r="C294" s="8"/>
      <c r="D294" s="9"/>
      <c r="E294" s="9"/>
      <c r="F294" s="9"/>
      <c r="G294" s="80"/>
    </row>
    <row r="295" spans="1:7" ht="13.5" thickBot="1" x14ac:dyDescent="0.25">
      <c r="A295" s="22" t="s">
        <v>100</v>
      </c>
      <c r="B295" s="23"/>
      <c r="C295" s="23"/>
      <c r="D295" s="24"/>
      <c r="E295" s="25"/>
      <c r="F295" s="19"/>
    </row>
    <row r="296" spans="1:7" ht="11.25" customHeight="1" thickBot="1" x14ac:dyDescent="0.25"/>
    <row r="297" spans="1:7" ht="17.25" customHeight="1" thickBot="1" x14ac:dyDescent="0.25">
      <c r="A297" s="22" t="s">
        <v>105</v>
      </c>
      <c r="B297" s="26"/>
      <c r="C297" s="26"/>
      <c r="D297" s="27"/>
      <c r="E297" s="28"/>
      <c r="F297" s="20">
        <f>+F87+F113+F255+F284+F295</f>
        <v>26393.482549584187</v>
      </c>
    </row>
    <row r="298" spans="1:7" ht="11.25" customHeight="1" x14ac:dyDescent="0.2"/>
    <row r="299" spans="1:7" x14ac:dyDescent="0.2">
      <c r="A299" s="10" t="s">
        <v>65</v>
      </c>
    </row>
    <row r="300" spans="1:7" ht="11.25" customHeight="1" thickBot="1" x14ac:dyDescent="0.25"/>
    <row r="301" spans="1:7" ht="13.5" thickBot="1" x14ac:dyDescent="0.25">
      <c r="A301" s="58" t="s">
        <v>54</v>
      </c>
      <c r="B301" s="59" t="s">
        <v>55</v>
      </c>
      <c r="C301" s="59" t="s">
        <v>35</v>
      </c>
      <c r="D301" s="60" t="s">
        <v>112</v>
      </c>
      <c r="E301" s="60" t="s">
        <v>56</v>
      </c>
      <c r="F301" s="61" t="s">
        <v>57</v>
      </c>
    </row>
    <row r="302" spans="1:7" ht="13.5" thickBot="1" x14ac:dyDescent="0.25">
      <c r="A302" s="11" t="s">
        <v>31</v>
      </c>
      <c r="B302" s="12" t="s">
        <v>1</v>
      </c>
      <c r="C302" s="127">
        <v>21.79</v>
      </c>
      <c r="D302" s="13">
        <f>+F297</f>
        <v>26393.482549584187</v>
      </c>
      <c r="E302" s="13">
        <f>C302*D302/100</f>
        <v>5751.1398475543947</v>
      </c>
    </row>
    <row r="303" spans="1:7" ht="13.5" thickBot="1" x14ac:dyDescent="0.25">
      <c r="F303" s="19">
        <f>+E302</f>
        <v>5751.1398475543947</v>
      </c>
    </row>
    <row r="304" spans="1:7" ht="11.25" customHeight="1" thickBot="1" x14ac:dyDescent="0.25"/>
    <row r="305" spans="1:7" ht="13.5" thickBot="1" x14ac:dyDescent="0.25">
      <c r="A305" s="22" t="s">
        <v>116</v>
      </c>
      <c r="B305" s="26"/>
      <c r="C305" s="26"/>
      <c r="D305" s="27"/>
      <c r="E305" s="28"/>
      <c r="F305" s="20">
        <f>F303</f>
        <v>5751.1398475543947</v>
      </c>
    </row>
    <row r="306" spans="1:7" x14ac:dyDescent="0.2">
      <c r="A306" s="32"/>
      <c r="B306" s="32"/>
      <c r="C306" s="32"/>
      <c r="D306" s="33"/>
      <c r="E306" s="33"/>
      <c r="F306" s="31"/>
    </row>
    <row r="307" spans="1:7" ht="11.25" customHeight="1" thickBot="1" x14ac:dyDescent="0.25"/>
    <row r="308" spans="1:7" ht="24.75" customHeight="1" thickBot="1" x14ac:dyDescent="0.25">
      <c r="A308" s="22" t="s">
        <v>106</v>
      </c>
      <c r="B308" s="26"/>
      <c r="C308" s="26"/>
      <c r="D308" s="27"/>
      <c r="E308" s="28"/>
      <c r="F308" s="20">
        <f>F297+F305</f>
        <v>32144.622397138581</v>
      </c>
    </row>
    <row r="309" spans="1:7" ht="12.6" customHeight="1" thickBot="1" x14ac:dyDescent="0.25">
      <c r="A309" s="54"/>
      <c r="B309" s="54"/>
      <c r="C309" s="54"/>
      <c r="D309" s="55"/>
      <c r="E309" s="55"/>
      <c r="F309" s="55"/>
    </row>
    <row r="310" spans="1:7" ht="14.25" customHeight="1" x14ac:dyDescent="0.2">
      <c r="A310" s="181" t="s">
        <v>175</v>
      </c>
      <c r="B310" s="182"/>
      <c r="C310" s="182"/>
      <c r="D310" s="182"/>
      <c r="E310" s="183"/>
      <c r="F310" s="187">
        <f>F308*12-0.03</f>
        <v>385735.43876566296</v>
      </c>
    </row>
    <row r="311" spans="1:7" ht="13.5" customHeight="1" thickBot="1" x14ac:dyDescent="0.25">
      <c r="A311" s="184"/>
      <c r="B311" s="185"/>
      <c r="C311" s="185"/>
      <c r="D311" s="185"/>
      <c r="E311" s="186"/>
      <c r="F311" s="188"/>
    </row>
    <row r="312" spans="1:7" ht="12.6" customHeight="1" x14ac:dyDescent="0.2">
      <c r="A312" s="32"/>
      <c r="B312" s="32"/>
      <c r="C312" s="32"/>
      <c r="D312" s="33"/>
      <c r="E312" s="33"/>
      <c r="F312" s="33"/>
    </row>
    <row r="313" spans="1:7" s="4" customFormat="1" ht="9.75" customHeight="1" x14ac:dyDescent="0.2">
      <c r="A313" s="37"/>
      <c r="B313" s="9"/>
      <c r="C313" s="9"/>
      <c r="D313" s="9"/>
      <c r="E313" s="9"/>
      <c r="F313" s="9"/>
      <c r="G313" s="5"/>
    </row>
    <row r="314" spans="1:7" s="4" customFormat="1" ht="9.75" customHeight="1" x14ac:dyDescent="0.2">
      <c r="A314" s="37"/>
      <c r="B314" s="9"/>
      <c r="C314" s="9"/>
      <c r="D314" s="9"/>
      <c r="E314" s="9"/>
      <c r="F314" s="9"/>
      <c r="G314" s="5"/>
    </row>
    <row r="315" spans="1:7" s="4" customFormat="1" ht="9.75" customHeight="1" x14ac:dyDescent="0.2">
      <c r="A315" s="37"/>
      <c r="B315" s="9"/>
      <c r="C315" s="9"/>
      <c r="D315" s="9"/>
      <c r="E315" s="9"/>
      <c r="F315" s="9"/>
      <c r="G315" s="5"/>
    </row>
    <row r="345" spans="4:7" ht="9" customHeight="1" x14ac:dyDescent="0.2">
      <c r="D345" s="8"/>
      <c r="E345" s="8"/>
      <c r="F345" s="8"/>
      <c r="G345" s="8"/>
    </row>
  </sheetData>
  <mergeCells count="13">
    <mergeCell ref="A310:E311"/>
    <mergeCell ref="F310:F311"/>
    <mergeCell ref="A191:D191"/>
    <mergeCell ref="A1:F1"/>
    <mergeCell ref="A2:F2"/>
    <mergeCell ref="A3:F3"/>
    <mergeCell ref="A42:D42"/>
    <mergeCell ref="A14:C14"/>
    <mergeCell ref="A4:F4"/>
    <mergeCell ref="A5:F5"/>
    <mergeCell ref="A37:D37"/>
    <mergeCell ref="A7:F7"/>
    <mergeCell ref="A36:E36"/>
  </mergeCells>
  <phoneticPr fontId="10" type="noConversion"/>
  <hyperlinks>
    <hyperlink ref="A135" location="AbaRemun" display="3.1.2. Remuneração do Capital" xr:uid="{00000000-0004-0000-0000-000000000000}"/>
    <hyperlink ref="A119" location="AbaDeprec" display="3.1.1. Depreciação" xr:uid="{00000000-0004-0000-0000-000001000000}"/>
    <hyperlink ref="A204" location="AbaRemun" display="3.1.2. Remuneração do Capital" xr:uid="{00000000-0004-0000-0000-000002000000}"/>
    <hyperlink ref="A193" location="AbaDeprec" display="3.1.1. Depreciação" xr:uid="{00000000-0004-0000-0000-000003000000}"/>
  </hyperlinks>
  <pageMargins left="0.9055118110236221" right="0.51181102362204722" top="0.74803149606299213" bottom="0.74803149606299213" header="0.31496062992125984" footer="0.31496062992125984"/>
  <pageSetup paperSize="9" scale="73" fitToHeight="0" orientation="portrait" r:id="rId1"/>
  <headerFooter alignWithMargins="0">
    <oddFooter>&amp;R&amp;P de &amp;N</oddFooter>
  </headerFooter>
  <rowBreaks count="4" manualBreakCount="4">
    <brk id="48" max="5" man="1"/>
    <brk id="71" max="5" man="1"/>
    <brk id="114" max="5" man="1"/>
    <brk id="181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7"/>
  <sheetViews>
    <sheetView workbookViewId="0">
      <selection sqref="A1:B1"/>
    </sheetView>
  </sheetViews>
  <sheetFormatPr defaultRowHeight="19.5" customHeight="1" x14ac:dyDescent="0.2"/>
  <cols>
    <col min="1" max="1" width="24.5703125" style="1" customWidth="1"/>
    <col min="2" max="2" width="20.85546875" style="1" customWidth="1"/>
    <col min="3" max="16384" width="9.140625" style="1"/>
  </cols>
  <sheetData>
    <row r="1" spans="1:2" ht="19.5" customHeight="1" thickBot="1" x14ac:dyDescent="0.25">
      <c r="A1" s="215" t="s">
        <v>107</v>
      </c>
      <c r="B1" s="216"/>
    </row>
    <row r="2" spans="1:2" s="102" customFormat="1" ht="19.5" customHeight="1" x14ac:dyDescent="0.2">
      <c r="A2" s="154" t="s">
        <v>95</v>
      </c>
      <c r="B2" s="155" t="s">
        <v>123</v>
      </c>
    </row>
    <row r="3" spans="1:2" ht="19.5" customHeight="1" x14ac:dyDescent="0.2">
      <c r="A3" s="139">
        <v>1</v>
      </c>
      <c r="B3" s="138">
        <v>33.629999999999995</v>
      </c>
    </row>
    <row r="4" spans="1:2" ht="19.5" customHeight="1" x14ac:dyDescent="0.2">
      <c r="A4" s="139">
        <v>2</v>
      </c>
      <c r="B4" s="138">
        <v>43.13</v>
      </c>
    </row>
    <row r="5" spans="1:2" ht="19.5" customHeight="1" x14ac:dyDescent="0.2">
      <c r="A5" s="139">
        <v>3</v>
      </c>
      <c r="B5" s="138">
        <v>48.68</v>
      </c>
    </row>
    <row r="6" spans="1:2" ht="19.5" customHeight="1" x14ac:dyDescent="0.2">
      <c r="A6" s="139">
        <v>4</v>
      </c>
      <c r="B6" s="138">
        <v>52.62</v>
      </c>
    </row>
    <row r="7" spans="1:2" ht="19.5" customHeight="1" x14ac:dyDescent="0.2">
      <c r="A7" s="139">
        <v>5</v>
      </c>
      <c r="B7" s="138">
        <v>55.679999999999993</v>
      </c>
    </row>
    <row r="8" spans="1:2" ht="19.5" customHeight="1" x14ac:dyDescent="0.2">
      <c r="A8" s="139">
        <v>6</v>
      </c>
      <c r="B8" s="138">
        <v>58.18</v>
      </c>
    </row>
    <row r="9" spans="1:2" ht="19.5" customHeight="1" x14ac:dyDescent="0.2">
      <c r="A9" s="139">
        <v>7</v>
      </c>
      <c r="B9" s="138">
        <v>60.29</v>
      </c>
    </row>
    <row r="10" spans="1:2" ht="19.5" customHeight="1" x14ac:dyDescent="0.2">
      <c r="A10" s="139">
        <v>8</v>
      </c>
      <c r="B10" s="138">
        <v>62.12</v>
      </c>
    </row>
    <row r="11" spans="1:2" ht="19.5" customHeight="1" x14ac:dyDescent="0.2">
      <c r="A11" s="139">
        <v>9</v>
      </c>
      <c r="B11" s="138">
        <v>63.73</v>
      </c>
    </row>
    <row r="12" spans="1:2" ht="19.5" customHeight="1" x14ac:dyDescent="0.2">
      <c r="A12" s="139">
        <v>10</v>
      </c>
      <c r="B12" s="138">
        <v>65.180000000000007</v>
      </c>
    </row>
    <row r="13" spans="1:2" ht="19.5" customHeight="1" x14ac:dyDescent="0.2">
      <c r="A13" s="139">
        <v>11</v>
      </c>
      <c r="B13" s="138">
        <v>66.47999999999999</v>
      </c>
    </row>
    <row r="14" spans="1:2" ht="19.5" customHeight="1" x14ac:dyDescent="0.2">
      <c r="A14" s="139">
        <v>12</v>
      </c>
      <c r="B14" s="138">
        <v>67.67</v>
      </c>
    </row>
    <row r="15" spans="1:2" ht="19.5" customHeight="1" x14ac:dyDescent="0.2">
      <c r="A15" s="139">
        <v>13</v>
      </c>
      <c r="B15" s="138">
        <v>68.77</v>
      </c>
    </row>
    <row r="16" spans="1:2" ht="19.5" customHeight="1" x14ac:dyDescent="0.2">
      <c r="A16" s="139">
        <v>14</v>
      </c>
      <c r="B16" s="138">
        <v>69.789999999999992</v>
      </c>
    </row>
    <row r="17" spans="1:2" ht="19.5" customHeight="1" thickBot="1" x14ac:dyDescent="0.25">
      <c r="A17" s="140">
        <v>15</v>
      </c>
      <c r="B17" s="141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6D12C-1E4B-45D5-814F-A9117C7A0E94}">
  <dimension ref="A1:J316"/>
  <sheetViews>
    <sheetView view="pageBreakPreview" topLeftCell="A285" zoomScale="85" zoomScaleNormal="100" zoomScaleSheetLayoutView="85" workbookViewId="0">
      <selection activeCell="I310" sqref="I310"/>
    </sheetView>
  </sheetViews>
  <sheetFormatPr defaultRowHeight="12.75" x14ac:dyDescent="0.2"/>
  <cols>
    <col min="1" max="1" width="68" customWidth="1"/>
    <col min="2" max="2" width="12.42578125" customWidth="1"/>
    <col min="3" max="4" width="10.7109375" customWidth="1"/>
    <col min="5" max="5" width="13" customWidth="1"/>
    <col min="6" max="6" width="11.28515625" bestFit="1" customWidth="1"/>
  </cols>
  <sheetData>
    <row r="1" spans="1:6" ht="20.25" x14ac:dyDescent="0.3">
      <c r="A1" s="190"/>
      <c r="B1" s="191"/>
      <c r="C1" s="191"/>
      <c r="D1" s="191"/>
      <c r="E1" s="191"/>
      <c r="F1" s="192"/>
    </row>
    <row r="2" spans="1:6" ht="20.25" x14ac:dyDescent="0.2">
      <c r="A2" s="193" t="s">
        <v>124</v>
      </c>
      <c r="B2" s="194"/>
      <c r="C2" s="194"/>
      <c r="D2" s="194"/>
      <c r="E2" s="194"/>
      <c r="F2" s="195"/>
    </row>
    <row r="3" spans="1:6" ht="24" thickBot="1" x14ac:dyDescent="0.4">
      <c r="A3" s="196" t="s">
        <v>125</v>
      </c>
      <c r="B3" s="197"/>
      <c r="C3" s="197"/>
      <c r="D3" s="197"/>
      <c r="E3" s="197"/>
      <c r="F3" s="198"/>
    </row>
    <row r="4" spans="1:6" ht="18" x14ac:dyDescent="0.2">
      <c r="A4" s="203" t="s">
        <v>182</v>
      </c>
      <c r="B4" s="204"/>
      <c r="C4" s="204"/>
      <c r="D4" s="204"/>
      <c r="E4" s="204"/>
      <c r="F4" s="205"/>
    </row>
    <row r="5" spans="1:6" ht="15" x14ac:dyDescent="0.2">
      <c r="A5" s="206" t="s">
        <v>179</v>
      </c>
      <c r="B5" s="207"/>
      <c r="C5" s="207"/>
      <c r="D5" s="207"/>
      <c r="E5" s="207"/>
      <c r="F5" s="208"/>
    </row>
    <row r="6" spans="1:6" ht="13.5" thickBot="1" x14ac:dyDescent="0.25">
      <c r="A6" s="132"/>
      <c r="B6" s="133"/>
      <c r="C6" s="133"/>
      <c r="D6" s="134"/>
      <c r="E6" s="134"/>
      <c r="F6" s="135"/>
    </row>
    <row r="7" spans="1:6" ht="16.5" thickBot="1" x14ac:dyDescent="0.25">
      <c r="A7" s="212" t="s">
        <v>94</v>
      </c>
      <c r="B7" s="213"/>
      <c r="C7" s="213"/>
      <c r="D7" s="213"/>
      <c r="E7" s="213"/>
      <c r="F7" s="214"/>
    </row>
    <row r="8" spans="1:6" x14ac:dyDescent="0.2">
      <c r="A8" s="62" t="s">
        <v>93</v>
      </c>
      <c r="B8" s="38"/>
      <c r="C8" s="38"/>
      <c r="D8" s="151"/>
      <c r="E8" s="110" t="s">
        <v>33</v>
      </c>
      <c r="F8" s="39" t="s">
        <v>1</v>
      </c>
    </row>
    <row r="9" spans="1:6" x14ac:dyDescent="0.2">
      <c r="A9" s="118" t="str">
        <f>A50</f>
        <v>1. Mão-de-obra</v>
      </c>
      <c r="B9" s="119"/>
      <c r="C9" s="120"/>
      <c r="D9" s="120"/>
      <c r="E9" s="148">
        <f>+F88</f>
        <v>10001.837593569231</v>
      </c>
      <c r="F9" s="121">
        <f t="shared" ref="F9:F32" si="0">IFERROR(E9/$E$33,0)</f>
        <v>0.61560484722692643</v>
      </c>
    </row>
    <row r="10" spans="1:6" x14ac:dyDescent="0.2">
      <c r="A10" s="47" t="s">
        <v>127</v>
      </c>
      <c r="B10" s="43"/>
      <c r="C10" s="45"/>
      <c r="D10" s="45"/>
      <c r="E10" s="149">
        <f>F60</f>
        <v>5769.9726528000001</v>
      </c>
      <c r="F10" s="56">
        <f t="shared" si="0"/>
        <v>0.35513705358646214</v>
      </c>
    </row>
    <row r="11" spans="1:6" x14ac:dyDescent="0.2">
      <c r="A11" s="47" t="s">
        <v>128</v>
      </c>
      <c r="B11" s="43"/>
      <c r="C11" s="45"/>
      <c r="D11" s="45"/>
      <c r="E11" s="149">
        <f>F70</f>
        <v>3384.7133099999996</v>
      </c>
      <c r="F11" s="56">
        <f t="shared" si="0"/>
        <v>0.20832631010217489</v>
      </c>
    </row>
    <row r="12" spans="1:6" x14ac:dyDescent="0.2">
      <c r="A12" s="47" t="str">
        <f>A73</f>
        <v>1.5. Vale Transporte</v>
      </c>
      <c r="B12" s="43"/>
      <c r="C12" s="45"/>
      <c r="D12" s="45"/>
      <c r="E12" s="149">
        <f>F78</f>
        <v>111.38363076923078</v>
      </c>
      <c r="F12" s="56">
        <f t="shared" si="0"/>
        <v>6.8555705250962365E-3</v>
      </c>
    </row>
    <row r="13" spans="1:6" x14ac:dyDescent="0.2">
      <c r="A13" s="47" t="str">
        <f>A80</f>
        <v>1.6. Vale-refeição (diário)</v>
      </c>
      <c r="B13" s="43"/>
      <c r="C13" s="45"/>
      <c r="D13" s="45"/>
      <c r="E13" s="149">
        <f>F85</f>
        <v>735.76800000000003</v>
      </c>
      <c r="F13" s="56">
        <f t="shared" si="0"/>
        <v>4.5285913013193145E-2</v>
      </c>
    </row>
    <row r="14" spans="1:6" x14ac:dyDescent="0.2">
      <c r="A14" s="201" t="str">
        <f>A90</f>
        <v>2. Uniformes e Equipamentos de Proteção Individual</v>
      </c>
      <c r="B14" s="202"/>
      <c r="C14" s="202"/>
      <c r="D14" s="120"/>
      <c r="E14" s="148">
        <f>+F114</f>
        <v>216</v>
      </c>
      <c r="F14" s="121">
        <f t="shared" si="0"/>
        <v>1.3294621688969509E-2</v>
      </c>
    </row>
    <row r="15" spans="1:6" x14ac:dyDescent="0.2">
      <c r="A15" s="178" t="str">
        <f>A116</f>
        <v>3. Veículos e Equipamentos</v>
      </c>
      <c r="B15" s="126"/>
      <c r="C15" s="120"/>
      <c r="D15" s="120"/>
      <c r="E15" s="148">
        <f>+F256</f>
        <v>2204.6462430555557</v>
      </c>
      <c r="F15" s="121">
        <f t="shared" si="0"/>
        <v>0.13569415629366452</v>
      </c>
    </row>
    <row r="16" spans="1:6" x14ac:dyDescent="0.2">
      <c r="A16" s="63" t="str">
        <f>A118</f>
        <v>3.1. Veículo Caminhão</v>
      </c>
      <c r="B16" s="44"/>
      <c r="C16" s="45"/>
      <c r="D16" s="45"/>
      <c r="E16" s="149">
        <f>SUM(E17:E22)</f>
        <v>0</v>
      </c>
      <c r="F16" s="130">
        <f>IFERROR(E16/$E$33,0)</f>
        <v>0</v>
      </c>
    </row>
    <row r="17" spans="1:6" x14ac:dyDescent="0.2">
      <c r="A17" s="63" t="str">
        <f>A120</f>
        <v>3.1.1. Depreciação</v>
      </c>
      <c r="B17" s="44"/>
      <c r="C17" s="45"/>
      <c r="D17" s="45"/>
      <c r="E17" s="149">
        <f>F134</f>
        <v>0</v>
      </c>
      <c r="F17" s="130">
        <f t="shared" si="0"/>
        <v>0</v>
      </c>
    </row>
    <row r="18" spans="1:6" x14ac:dyDescent="0.2">
      <c r="A18" s="63" t="str">
        <f>A136</f>
        <v>3.1.2. Remuneração do Capital</v>
      </c>
      <c r="B18" s="44"/>
      <c r="C18" s="45"/>
      <c r="D18" s="45"/>
      <c r="E18" s="149">
        <f>F150</f>
        <v>0</v>
      </c>
      <c r="F18" s="130">
        <f t="shared" si="0"/>
        <v>0</v>
      </c>
    </row>
    <row r="19" spans="1:6" x14ac:dyDescent="0.2">
      <c r="A19" s="63" t="str">
        <f>A152</f>
        <v>3.1.3. Impostos e Seguros</v>
      </c>
      <c r="B19" s="44"/>
      <c r="C19" s="45"/>
      <c r="D19" s="45"/>
      <c r="E19" s="149">
        <f>F158</f>
        <v>0</v>
      </c>
      <c r="F19" s="130">
        <f t="shared" si="0"/>
        <v>0</v>
      </c>
    </row>
    <row r="20" spans="1:6" x14ac:dyDescent="0.2">
      <c r="A20" s="63" t="str">
        <f>A160</f>
        <v>3.1.4. Consumos</v>
      </c>
      <c r="B20" s="44"/>
      <c r="C20" s="45"/>
      <c r="D20" s="45"/>
      <c r="E20" s="149">
        <f>F176</f>
        <v>0</v>
      </c>
      <c r="F20" s="130">
        <f t="shared" si="0"/>
        <v>0</v>
      </c>
    </row>
    <row r="21" spans="1:6" x14ac:dyDescent="0.2">
      <c r="A21" s="63" t="str">
        <f>A178</f>
        <v>3.1.5. Manutenção</v>
      </c>
      <c r="B21" s="44"/>
      <c r="C21" s="45"/>
      <c r="D21" s="45"/>
      <c r="E21" s="149">
        <f>F181</f>
        <v>0</v>
      </c>
      <c r="F21" s="130">
        <f t="shared" si="0"/>
        <v>0</v>
      </c>
    </row>
    <row r="22" spans="1:6" x14ac:dyDescent="0.2">
      <c r="A22" s="63" t="str">
        <f>A183</f>
        <v>3.1.6. Pneus</v>
      </c>
      <c r="B22" s="44"/>
      <c r="C22" s="45"/>
      <c r="D22" s="45"/>
      <c r="E22" s="149">
        <f>F190</f>
        <v>0</v>
      </c>
      <c r="F22" s="130">
        <f t="shared" si="0"/>
        <v>0</v>
      </c>
    </row>
    <row r="23" spans="1:6" x14ac:dyDescent="0.2">
      <c r="A23" s="63" t="str">
        <f>A192</f>
        <v>3.2. Veículo  para transporte de servidores, equipamentos, ferramentas, materiais e residuos de limpeza</v>
      </c>
      <c r="B23" s="44"/>
      <c r="C23" s="45"/>
      <c r="D23" s="45"/>
      <c r="E23" s="149">
        <f>E24+E25+E26+E27+E28+E29</f>
        <v>2204.6462430555557</v>
      </c>
      <c r="F23" s="130">
        <f>E23/E33</f>
        <v>0.13569415629366452</v>
      </c>
    </row>
    <row r="24" spans="1:6" x14ac:dyDescent="0.2">
      <c r="A24" s="63" t="str">
        <f>A194</f>
        <v>3.1.1. Depreciação</v>
      </c>
      <c r="B24" s="44"/>
      <c r="C24" s="45"/>
      <c r="D24" s="45"/>
      <c r="E24" s="149">
        <f>F203</f>
        <v>488.85000000000008</v>
      </c>
      <c r="F24" s="130">
        <f>E24/E33</f>
        <v>3.0088313947466416E-2</v>
      </c>
    </row>
    <row r="25" spans="1:6" x14ac:dyDescent="0.2">
      <c r="A25" s="63" t="str">
        <f>A205</f>
        <v>3.1.2. Remuneração do Capital</v>
      </c>
      <c r="B25" s="44"/>
      <c r="C25" s="45"/>
      <c r="D25" s="45"/>
      <c r="E25" s="149">
        <f>F214</f>
        <v>702.27318749999995</v>
      </c>
      <c r="F25" s="130">
        <f>E25/E33</f>
        <v>4.3224334954255789E-2</v>
      </c>
    </row>
    <row r="26" spans="1:6" x14ac:dyDescent="0.2">
      <c r="A26" s="63" t="str">
        <f>A216</f>
        <v>3.2.3. Impostos e Seguros</v>
      </c>
      <c r="B26" s="44"/>
      <c r="C26" s="45"/>
      <c r="D26" s="45"/>
      <c r="E26" s="149">
        <f>F222</f>
        <v>336.66666666666669</v>
      </c>
      <c r="F26" s="130">
        <f>E26/E33</f>
        <v>2.0721555410276551E-2</v>
      </c>
    </row>
    <row r="27" spans="1:6" x14ac:dyDescent="0.2">
      <c r="A27" s="63" t="str">
        <f>A224</f>
        <v>3.2.4. Consumos</v>
      </c>
      <c r="B27" s="44"/>
      <c r="C27" s="45"/>
      <c r="D27" s="45"/>
      <c r="E27" s="149">
        <f>F240</f>
        <v>401.85638888888889</v>
      </c>
      <c r="F27" s="130">
        <f>E27/E33</f>
        <v>2.473392899802402E-2</v>
      </c>
    </row>
    <row r="28" spans="1:6" x14ac:dyDescent="0.2">
      <c r="A28" s="63" t="str">
        <f>A178</f>
        <v>3.1.5. Manutenção</v>
      </c>
      <c r="B28" s="44"/>
      <c r="C28" s="45"/>
      <c r="D28" s="45"/>
      <c r="E28" s="149">
        <f>F245</f>
        <v>185</v>
      </c>
      <c r="F28" s="130">
        <f>E28/E33</f>
        <v>1.1386597279904442E-2</v>
      </c>
    </row>
    <row r="29" spans="1:6" x14ac:dyDescent="0.2">
      <c r="A29" s="63" t="str">
        <f>A247</f>
        <v>3.2.6. Pneus</v>
      </c>
      <c r="B29" s="44"/>
      <c r="C29" s="45"/>
      <c r="D29" s="45"/>
      <c r="E29" s="149">
        <f>F254</f>
        <v>90</v>
      </c>
      <c r="F29" s="130">
        <f>E29/E33</f>
        <v>5.5394257037372956E-3</v>
      </c>
    </row>
    <row r="30" spans="1:6" x14ac:dyDescent="0.2">
      <c r="A30" s="178" t="str">
        <f>A258</f>
        <v>4. Ferramentas e Materiais de Consumo</v>
      </c>
      <c r="B30" s="126"/>
      <c r="C30" s="120"/>
      <c r="D30" s="120"/>
      <c r="E30" s="148">
        <f>+F285</f>
        <v>917.83277777777766</v>
      </c>
      <c r="F30" s="121">
        <f t="shared" si="0"/>
        <v>5.6491849788386922E-2</v>
      </c>
    </row>
    <row r="31" spans="1:6" x14ac:dyDescent="0.2">
      <c r="A31" s="178" t="str">
        <f>A287</f>
        <v>5. Monitoramento da Frota</v>
      </c>
      <c r="B31" s="126"/>
      <c r="C31" s="120"/>
      <c r="D31" s="120"/>
      <c r="E31" s="148">
        <f>+F296</f>
        <v>0</v>
      </c>
      <c r="F31" s="121">
        <f t="shared" si="0"/>
        <v>0</v>
      </c>
    </row>
    <row r="32" spans="1:6" ht="13.5" thickBot="1" x14ac:dyDescent="0.25">
      <c r="A32" s="178" t="str">
        <f>A300</f>
        <v>6. Benefícios e Despesas Indiretas - BDI</v>
      </c>
      <c r="B32" s="126"/>
      <c r="C32" s="120"/>
      <c r="D32" s="120"/>
      <c r="E32" s="150">
        <f>+F306</f>
        <v>2906.8549902783184</v>
      </c>
      <c r="F32" s="121">
        <f t="shared" si="0"/>
        <v>0.17891452500205271</v>
      </c>
    </row>
    <row r="33" spans="1:6" ht="13.5" thickBot="1" x14ac:dyDescent="0.25">
      <c r="A33" s="40" t="s">
        <v>174</v>
      </c>
      <c r="B33" s="41"/>
      <c r="C33" s="24"/>
      <c r="D33" s="24"/>
      <c r="E33" s="109">
        <f>E9+E14+E15+E30+E31+E32</f>
        <v>16247.171604680882</v>
      </c>
      <c r="F33" s="129">
        <f>F9+F14+F15+F30+F31+F32</f>
        <v>1.0000000000000002</v>
      </c>
    </row>
    <row r="34" spans="1:6" x14ac:dyDescent="0.2">
      <c r="A34" s="8"/>
      <c r="B34" s="8"/>
      <c r="C34" s="8"/>
      <c r="D34" s="9"/>
      <c r="E34" s="9"/>
      <c r="F34" s="9"/>
    </row>
    <row r="35" spans="1:6" ht="13.5" thickBot="1" x14ac:dyDescent="0.25">
      <c r="A35" s="8"/>
      <c r="B35" s="8"/>
      <c r="C35" s="8"/>
      <c r="D35" s="9"/>
      <c r="E35" s="9"/>
      <c r="F35" s="9"/>
    </row>
    <row r="36" spans="1:6" ht="16.5" thickBot="1" x14ac:dyDescent="0.25">
      <c r="A36" s="212" t="s">
        <v>70</v>
      </c>
      <c r="B36" s="213"/>
      <c r="C36" s="213"/>
      <c r="D36" s="213"/>
      <c r="E36" s="214"/>
      <c r="F36" s="9"/>
    </row>
    <row r="37" spans="1:6" ht="13.5" thickBot="1" x14ac:dyDescent="0.25">
      <c r="A37" s="209" t="s">
        <v>34</v>
      </c>
      <c r="B37" s="210"/>
      <c r="C37" s="210"/>
      <c r="D37" s="211"/>
      <c r="E37" s="46" t="s">
        <v>35</v>
      </c>
      <c r="F37" s="9"/>
    </row>
    <row r="38" spans="1:6" x14ac:dyDescent="0.2">
      <c r="A38" s="47" t="str">
        <f>A10</f>
        <v>1.1.Encarregados/motoristas</v>
      </c>
      <c r="B38" s="70"/>
      <c r="C38" s="70"/>
      <c r="D38" s="71"/>
      <c r="E38" s="72">
        <v>1</v>
      </c>
      <c r="F38" s="9"/>
    </row>
    <row r="39" spans="1:6" x14ac:dyDescent="0.2">
      <c r="A39" s="47" t="str">
        <f>A11</f>
        <v>1.2. Servidores/gari</v>
      </c>
      <c r="B39" s="64"/>
      <c r="C39" s="64"/>
      <c r="D39" s="73"/>
      <c r="E39" s="67">
        <v>1</v>
      </c>
      <c r="F39" s="9"/>
    </row>
    <row r="40" spans="1:6" ht="13.5" thickBot="1" x14ac:dyDescent="0.25">
      <c r="A40" s="68" t="s">
        <v>49</v>
      </c>
      <c r="B40" s="69"/>
      <c r="C40" s="69"/>
      <c r="D40" s="74"/>
      <c r="E40" s="75">
        <f>SUM(E38:E39)</f>
        <v>2</v>
      </c>
      <c r="F40" s="9"/>
    </row>
    <row r="41" spans="1:6" ht="13.5" thickBot="1" x14ac:dyDescent="0.25">
      <c r="A41" s="122"/>
      <c r="B41" s="123"/>
      <c r="C41" s="57"/>
      <c r="D41" s="57"/>
      <c r="E41" s="124"/>
      <c r="F41" s="9"/>
    </row>
    <row r="42" spans="1:6" x14ac:dyDescent="0.2">
      <c r="A42" s="199" t="s">
        <v>46</v>
      </c>
      <c r="B42" s="200"/>
      <c r="C42" s="200"/>
      <c r="D42" s="200"/>
      <c r="E42" s="46" t="s">
        <v>35</v>
      </c>
      <c r="F42" s="8"/>
    </row>
    <row r="43" spans="1:6" x14ac:dyDescent="0.2">
      <c r="A43" s="172" t="str">
        <f>+A118</f>
        <v>3.1. Veículo Caminhão</v>
      </c>
      <c r="B43" s="64"/>
      <c r="C43" s="64"/>
      <c r="D43" s="147"/>
      <c r="E43" s="171">
        <v>0</v>
      </c>
      <c r="F43" s="8"/>
    </row>
    <row r="44" spans="1:6" x14ac:dyDescent="0.2">
      <c r="A44" s="173" t="s">
        <v>129</v>
      </c>
      <c r="B44" s="64"/>
      <c r="C44" s="64"/>
      <c r="D44" s="147"/>
      <c r="E44" s="171">
        <v>1</v>
      </c>
      <c r="F44" s="8"/>
    </row>
    <row r="45" spans="1:6" x14ac:dyDescent="0.2">
      <c r="A45" s="57"/>
      <c r="B45" s="57"/>
      <c r="C45" s="57"/>
      <c r="D45" s="52"/>
      <c r="E45" s="146"/>
      <c r="F45" s="8"/>
    </row>
    <row r="46" spans="1:6" ht="13.5" thickBot="1" x14ac:dyDescent="0.25">
      <c r="A46" s="57"/>
      <c r="B46" s="57"/>
      <c r="C46" s="57"/>
      <c r="D46" s="52"/>
      <c r="E46" s="65"/>
      <c r="F46" s="8"/>
    </row>
    <row r="47" spans="1:6" ht="13.5" thickBot="1" x14ac:dyDescent="0.25">
      <c r="A47" s="152" t="s">
        <v>91</v>
      </c>
      <c r="B47" s="153">
        <v>1</v>
      </c>
      <c r="C47" s="33"/>
      <c r="D47" s="32"/>
      <c r="E47" s="137"/>
      <c r="F47" s="10"/>
    </row>
    <row r="48" spans="1:6" x14ac:dyDescent="0.2">
      <c r="A48" s="33"/>
      <c r="B48" s="180"/>
      <c r="C48" s="33"/>
      <c r="D48" s="32"/>
      <c r="E48" s="137"/>
      <c r="F48" s="10"/>
    </row>
    <row r="49" spans="1:6" x14ac:dyDescent="0.2">
      <c r="A49" s="57"/>
      <c r="B49" s="57"/>
      <c r="C49" s="57"/>
      <c r="D49" s="52"/>
      <c r="E49" s="65"/>
      <c r="F49" s="8"/>
    </row>
    <row r="50" spans="1:6" x14ac:dyDescent="0.2">
      <c r="A50" s="10" t="s">
        <v>38</v>
      </c>
      <c r="B50" s="8"/>
      <c r="C50" s="8"/>
      <c r="D50" s="9"/>
      <c r="E50" s="9"/>
      <c r="F50" s="9"/>
    </row>
    <row r="51" spans="1:6" x14ac:dyDescent="0.2">
      <c r="A51" s="8"/>
      <c r="B51" s="8"/>
      <c r="C51" s="8"/>
      <c r="D51" s="9"/>
      <c r="E51" s="9"/>
      <c r="F51" s="9"/>
    </row>
    <row r="52" spans="1:6" ht="13.5" thickBot="1" x14ac:dyDescent="0.25">
      <c r="A52" s="174" t="str">
        <f>A10</f>
        <v>1.1.Encarregados/motoristas</v>
      </c>
      <c r="B52" s="8"/>
      <c r="C52" s="8"/>
      <c r="D52" s="9"/>
      <c r="E52" s="9"/>
      <c r="F52" s="9"/>
    </row>
    <row r="53" spans="1:6" ht="13.5" thickBot="1" x14ac:dyDescent="0.25">
      <c r="A53" s="58" t="s">
        <v>54</v>
      </c>
      <c r="B53" s="59" t="s">
        <v>55</v>
      </c>
      <c r="C53" s="59" t="s">
        <v>35</v>
      </c>
      <c r="D53" s="60" t="s">
        <v>112</v>
      </c>
      <c r="E53" s="60" t="s">
        <v>56</v>
      </c>
      <c r="F53" s="61" t="s">
        <v>57</v>
      </c>
    </row>
    <row r="54" spans="1:6" x14ac:dyDescent="0.2">
      <c r="A54" s="11" t="s">
        <v>99</v>
      </c>
      <c r="B54" s="12" t="s">
        <v>6</v>
      </c>
      <c r="C54" s="12">
        <v>1</v>
      </c>
      <c r="D54" s="83">
        <v>2283.04</v>
      </c>
      <c r="E54" s="13">
        <f>C54*D54</f>
        <v>2283.04</v>
      </c>
      <c r="F54" s="9"/>
    </row>
    <row r="55" spans="1:6" x14ac:dyDescent="0.2">
      <c r="A55" s="14" t="s">
        <v>0</v>
      </c>
      <c r="B55" s="15" t="s">
        <v>1</v>
      </c>
      <c r="C55" s="15">
        <v>20</v>
      </c>
      <c r="D55" s="79">
        <f>SUM(E54:E54)</f>
        <v>2283.04</v>
      </c>
      <c r="E55" s="16">
        <f>C55*D55/100</f>
        <v>456.608</v>
      </c>
      <c r="F55" s="9"/>
    </row>
    <row r="56" spans="1:6" x14ac:dyDescent="0.2">
      <c r="A56" s="111" t="s">
        <v>2</v>
      </c>
      <c r="B56" s="112"/>
      <c r="C56" s="112"/>
      <c r="D56" s="113"/>
      <c r="E56" s="114">
        <f>SUM(E54:E55)</f>
        <v>2739.6480000000001</v>
      </c>
      <c r="F56" s="9"/>
    </row>
    <row r="57" spans="1:6" x14ac:dyDescent="0.2">
      <c r="A57" s="14" t="s">
        <v>3</v>
      </c>
      <c r="B57" s="15" t="s">
        <v>1</v>
      </c>
      <c r="C57" s="127">
        <v>110.61</v>
      </c>
      <c r="D57" s="16">
        <f>E56</f>
        <v>2739.6480000000001</v>
      </c>
      <c r="E57" s="16">
        <f>D57*C57/100</f>
        <v>3030.3246528</v>
      </c>
      <c r="F57" s="9"/>
    </row>
    <row r="58" spans="1:6" x14ac:dyDescent="0.2">
      <c r="A58" s="111" t="s">
        <v>62</v>
      </c>
      <c r="B58" s="112"/>
      <c r="C58" s="112"/>
      <c r="D58" s="113"/>
      <c r="E58" s="114">
        <f>E56+E57</f>
        <v>5769.9726528000001</v>
      </c>
      <c r="F58" s="9"/>
    </row>
    <row r="59" spans="1:6" ht="13.5" thickBot="1" x14ac:dyDescent="0.25">
      <c r="A59" s="14" t="s">
        <v>4</v>
      </c>
      <c r="B59" s="15" t="s">
        <v>5</v>
      </c>
      <c r="C59" s="82">
        <v>1</v>
      </c>
      <c r="D59" s="16">
        <f>E58</f>
        <v>5769.9726528000001</v>
      </c>
      <c r="E59" s="16">
        <f>C59*D59</f>
        <v>5769.9726528000001</v>
      </c>
      <c r="F59" s="9"/>
    </row>
    <row r="60" spans="1:6" ht="13.5" thickBot="1" x14ac:dyDescent="0.25">
      <c r="A60" s="8"/>
      <c r="B60" s="8"/>
      <c r="C60" s="8"/>
      <c r="D60" s="116" t="s">
        <v>90</v>
      </c>
      <c r="E60" s="48">
        <f>$B$47</f>
        <v>1</v>
      </c>
      <c r="F60" s="117">
        <f>E59*E60</f>
        <v>5769.9726528000001</v>
      </c>
    </row>
    <row r="61" spans="1:6" x14ac:dyDescent="0.2">
      <c r="A61" s="8"/>
      <c r="B61" s="8"/>
      <c r="C61" s="8"/>
      <c r="D61" s="9"/>
      <c r="E61" s="9"/>
      <c r="F61" s="9"/>
    </row>
    <row r="62" spans="1:6" ht="13.5" thickBot="1" x14ac:dyDescent="0.25">
      <c r="A62" s="174" t="str">
        <f>A11</f>
        <v>1.2. Servidores/gari</v>
      </c>
      <c r="B62" s="8"/>
      <c r="C62" s="8"/>
      <c r="D62" s="9"/>
      <c r="E62" s="9"/>
      <c r="F62" s="9"/>
    </row>
    <row r="63" spans="1:6" ht="13.5" thickBot="1" x14ac:dyDescent="0.25">
      <c r="A63" s="58" t="s">
        <v>54</v>
      </c>
      <c r="B63" s="59" t="s">
        <v>55</v>
      </c>
      <c r="C63" s="59" t="s">
        <v>35</v>
      </c>
      <c r="D63" s="60" t="s">
        <v>112</v>
      </c>
      <c r="E63" s="60" t="s">
        <v>56</v>
      </c>
      <c r="F63" s="61" t="s">
        <v>57</v>
      </c>
    </row>
    <row r="64" spans="1:6" x14ac:dyDescent="0.2">
      <c r="A64" s="11" t="s">
        <v>99</v>
      </c>
      <c r="B64" s="12" t="s">
        <v>6</v>
      </c>
      <c r="C64" s="12">
        <v>1</v>
      </c>
      <c r="D64" s="13">
        <v>1339.25</v>
      </c>
      <c r="E64" s="13">
        <f>C64*D64</f>
        <v>1339.25</v>
      </c>
      <c r="F64" s="9"/>
    </row>
    <row r="65" spans="1:6" x14ac:dyDescent="0.2">
      <c r="A65" s="14" t="s">
        <v>0</v>
      </c>
      <c r="B65" s="15" t="s">
        <v>1</v>
      </c>
      <c r="C65" s="15">
        <f>+C55</f>
        <v>20</v>
      </c>
      <c r="D65" s="79">
        <f>SUM(E64:E64)</f>
        <v>1339.25</v>
      </c>
      <c r="E65" s="16">
        <f>C65*D65/100</f>
        <v>267.85000000000002</v>
      </c>
      <c r="F65" s="9"/>
    </row>
    <row r="66" spans="1:6" x14ac:dyDescent="0.2">
      <c r="A66" s="111" t="s">
        <v>2</v>
      </c>
      <c r="B66" s="112"/>
      <c r="C66" s="112"/>
      <c r="D66" s="113"/>
      <c r="E66" s="114">
        <f>SUM(E64:E65)</f>
        <v>1607.1</v>
      </c>
      <c r="F66" s="9"/>
    </row>
    <row r="67" spans="1:6" x14ac:dyDescent="0.2">
      <c r="A67" s="14" t="s">
        <v>3</v>
      </c>
      <c r="B67" s="15" t="s">
        <v>1</v>
      </c>
      <c r="C67" s="127">
        <v>110.61</v>
      </c>
      <c r="D67" s="16">
        <f>E66</f>
        <v>1607.1</v>
      </c>
      <c r="E67" s="16">
        <f>D67*C67/100</f>
        <v>1777.6133099999997</v>
      </c>
      <c r="F67" s="9"/>
    </row>
    <row r="68" spans="1:6" x14ac:dyDescent="0.2">
      <c r="A68" s="111" t="s">
        <v>62</v>
      </c>
      <c r="B68" s="112"/>
      <c r="C68" s="112"/>
      <c r="D68" s="113"/>
      <c r="E68" s="114">
        <f>E66+E67</f>
        <v>3384.7133099999996</v>
      </c>
      <c r="F68" s="9"/>
    </row>
    <row r="69" spans="1:6" ht="13.5" thickBot="1" x14ac:dyDescent="0.25">
      <c r="A69" s="14" t="s">
        <v>4</v>
      </c>
      <c r="B69" s="15" t="s">
        <v>5</v>
      </c>
      <c r="C69" s="82">
        <v>1</v>
      </c>
      <c r="D69" s="16">
        <f>E68</f>
        <v>3384.7133099999996</v>
      </c>
      <c r="E69" s="16">
        <f>C69*D69</f>
        <v>3384.7133099999996</v>
      </c>
      <c r="F69" s="9"/>
    </row>
    <row r="70" spans="1:6" ht="13.5" thickBot="1" x14ac:dyDescent="0.25">
      <c r="A70" s="8"/>
      <c r="B70" s="8"/>
      <c r="C70" s="8"/>
      <c r="D70" s="116" t="s">
        <v>90</v>
      </c>
      <c r="E70" s="48">
        <f>$B$47</f>
        <v>1</v>
      </c>
      <c r="F70" s="117">
        <f>E69*E70</f>
        <v>3384.7133099999996</v>
      </c>
    </row>
    <row r="71" spans="1:6" x14ac:dyDescent="0.2">
      <c r="A71" s="8"/>
      <c r="B71" s="8"/>
      <c r="C71" s="8"/>
      <c r="D71" s="9"/>
      <c r="E71" s="9"/>
      <c r="F71" s="9"/>
    </row>
    <row r="72" spans="1:6" x14ac:dyDescent="0.2">
      <c r="A72" s="8"/>
      <c r="B72" s="8"/>
      <c r="C72" s="8"/>
      <c r="D72" s="9"/>
      <c r="E72" s="9"/>
      <c r="F72" s="9"/>
    </row>
    <row r="73" spans="1:6" ht="13.5" thickBot="1" x14ac:dyDescent="0.25">
      <c r="A73" s="8" t="s">
        <v>71</v>
      </c>
      <c r="B73" s="87"/>
      <c r="C73" s="8"/>
      <c r="D73" s="8"/>
      <c r="E73" s="8"/>
      <c r="F73" s="9"/>
    </row>
    <row r="74" spans="1:6" ht="13.5" thickBot="1" x14ac:dyDescent="0.25">
      <c r="A74" s="58" t="s">
        <v>54</v>
      </c>
      <c r="B74" s="59" t="s">
        <v>55</v>
      </c>
      <c r="C74" s="59" t="s">
        <v>35</v>
      </c>
      <c r="D74" s="60" t="s">
        <v>112</v>
      </c>
      <c r="E74" s="60" t="s">
        <v>56</v>
      </c>
      <c r="F74" s="61" t="s">
        <v>57</v>
      </c>
    </row>
    <row r="75" spans="1:6" x14ac:dyDescent="0.2">
      <c r="A75" s="14" t="s">
        <v>66</v>
      </c>
      <c r="B75" s="15" t="s">
        <v>30</v>
      </c>
      <c r="C75" s="88">
        <v>1</v>
      </c>
      <c r="D75" s="86">
        <v>3.9</v>
      </c>
      <c r="E75" s="16"/>
      <c r="F75" s="9"/>
    </row>
    <row r="76" spans="1:6" x14ac:dyDescent="0.2">
      <c r="A76" s="14" t="s">
        <v>67</v>
      </c>
      <c r="B76" s="15" t="s">
        <v>68</v>
      </c>
      <c r="C76" s="85">
        <v>22</v>
      </c>
      <c r="D76" s="16"/>
      <c r="E76" s="16"/>
      <c r="F76" s="9"/>
    </row>
    <row r="77" spans="1:6" ht="13.5" thickBot="1" x14ac:dyDescent="0.25">
      <c r="A77" s="175" t="str">
        <f>A40</f>
        <v>Total de mão-de-obra (postos de trabalho)</v>
      </c>
      <c r="B77" s="15" t="s">
        <v>7</v>
      </c>
      <c r="C77" s="35">
        <v>88</v>
      </c>
      <c r="D77" s="13">
        <f>IFERROR((($C$76*2*$D$75)-(E54*0.06*C76/26))/($C$76*2),"-")</f>
        <v>1.265723076923077</v>
      </c>
      <c r="E77" s="16">
        <f>IFERROR(C77*D77,"-")</f>
        <v>111.38363076923078</v>
      </c>
      <c r="F77" s="9"/>
    </row>
    <row r="78" spans="1:6" ht="13.5" thickBot="1" x14ac:dyDescent="0.25">
      <c r="A78" s="8"/>
      <c r="B78" s="8"/>
      <c r="C78" s="8"/>
      <c r="D78" s="9"/>
      <c r="E78" s="9"/>
      <c r="F78" s="20">
        <f>SUM(E77:E77)</f>
        <v>111.38363076923078</v>
      </c>
    </row>
    <row r="79" spans="1:6" x14ac:dyDescent="0.2">
      <c r="A79" s="8"/>
      <c r="B79" s="8"/>
      <c r="C79" s="8"/>
      <c r="D79" s="9"/>
      <c r="E79" s="9"/>
      <c r="F79" s="9"/>
    </row>
    <row r="80" spans="1:6" ht="13.5" thickBot="1" x14ac:dyDescent="0.25">
      <c r="A80" s="8" t="s">
        <v>88</v>
      </c>
      <c r="B80" s="8"/>
      <c r="C80" s="8"/>
      <c r="D80" s="9"/>
      <c r="E80" s="9"/>
      <c r="F80" s="21"/>
    </row>
    <row r="81" spans="1:6" ht="13.5" thickBot="1" x14ac:dyDescent="0.25">
      <c r="A81" s="58" t="s">
        <v>54</v>
      </c>
      <c r="B81" s="59" t="s">
        <v>55</v>
      </c>
      <c r="C81" s="59" t="s">
        <v>35</v>
      </c>
      <c r="D81" s="60" t="s">
        <v>112</v>
      </c>
      <c r="E81" s="60" t="s">
        <v>56</v>
      </c>
      <c r="F81" s="61" t="s">
        <v>57</v>
      </c>
    </row>
    <row r="82" spans="1:6" x14ac:dyDescent="0.2">
      <c r="A82" s="176" t="s">
        <v>176</v>
      </c>
      <c r="B82" s="15" t="s">
        <v>8</v>
      </c>
      <c r="C82" s="96">
        <v>1</v>
      </c>
      <c r="D82" s="89">
        <v>20.18</v>
      </c>
      <c r="E82" s="48">
        <f>C82*D82</f>
        <v>20.18</v>
      </c>
      <c r="F82" s="21"/>
    </row>
    <row r="83" spans="1:6" x14ac:dyDescent="0.2">
      <c r="A83" s="176" t="s">
        <v>177</v>
      </c>
      <c r="B83" s="177" t="s">
        <v>68</v>
      </c>
      <c r="C83" s="96">
        <v>22</v>
      </c>
      <c r="D83" s="89"/>
      <c r="E83" s="48"/>
      <c r="F83" s="21"/>
    </row>
    <row r="84" spans="1:6" ht="13.5" thickBot="1" x14ac:dyDescent="0.25">
      <c r="A84" s="176" t="s">
        <v>49</v>
      </c>
      <c r="B84" s="177" t="s">
        <v>7</v>
      </c>
      <c r="C84" s="96">
        <v>44</v>
      </c>
      <c r="D84" s="89">
        <f>D82-18.2*0.19</f>
        <v>16.722000000000001</v>
      </c>
      <c r="E84" s="48">
        <f>C84*D84</f>
        <v>735.76800000000003</v>
      </c>
      <c r="F84" s="21"/>
    </row>
    <row r="85" spans="1:6" ht="13.5" thickBot="1" x14ac:dyDescent="0.25">
      <c r="A85" s="8"/>
      <c r="B85" s="8"/>
      <c r="C85" s="8"/>
      <c r="D85" s="9"/>
      <c r="E85" s="9"/>
      <c r="F85" s="20">
        <f>E84</f>
        <v>735.76800000000003</v>
      </c>
    </row>
    <row r="86" spans="1:6" x14ac:dyDescent="0.2">
      <c r="A86" s="8"/>
      <c r="B86" s="8"/>
      <c r="C86" s="8"/>
      <c r="D86" s="9"/>
      <c r="E86" s="9"/>
      <c r="F86" s="9"/>
    </row>
    <row r="87" spans="1:6" ht="13.5" thickBot="1" x14ac:dyDescent="0.25">
      <c r="A87" s="8"/>
      <c r="B87" s="8"/>
      <c r="C87" s="8"/>
      <c r="D87" s="9"/>
      <c r="E87" s="9"/>
      <c r="F87" s="9"/>
    </row>
    <row r="88" spans="1:6" ht="13.5" thickBot="1" x14ac:dyDescent="0.25">
      <c r="A88" s="22" t="s">
        <v>69</v>
      </c>
      <c r="B88" s="23"/>
      <c r="C88" s="23"/>
      <c r="D88" s="24"/>
      <c r="E88" s="25"/>
      <c r="F88" s="20">
        <f>F85+F78+F70+F60</f>
        <v>10001.837593569231</v>
      </c>
    </row>
    <row r="89" spans="1:6" x14ac:dyDescent="0.2">
      <c r="A89" s="8"/>
      <c r="B89" s="8"/>
      <c r="C89" s="8"/>
      <c r="D89" s="9"/>
      <c r="E89" s="9"/>
      <c r="F89" s="9"/>
    </row>
    <row r="90" spans="1:6" x14ac:dyDescent="0.2">
      <c r="A90" s="10" t="s">
        <v>36</v>
      </c>
      <c r="B90" s="8"/>
      <c r="C90" s="8"/>
      <c r="D90" s="9"/>
      <c r="E90" s="9"/>
      <c r="F90" s="9"/>
    </row>
    <row r="91" spans="1:6" x14ac:dyDescent="0.2">
      <c r="A91" s="8"/>
      <c r="B91" s="8"/>
      <c r="C91" s="8"/>
      <c r="D91" s="9"/>
      <c r="E91" s="9"/>
      <c r="F91" s="9"/>
    </row>
    <row r="92" spans="1:6" x14ac:dyDescent="0.2">
      <c r="A92" s="6" t="s">
        <v>130</v>
      </c>
      <c r="B92" s="8"/>
      <c r="C92" s="8"/>
      <c r="D92" s="9"/>
      <c r="E92" s="9"/>
      <c r="F92" s="9"/>
    </row>
    <row r="93" spans="1:6" ht="13.5" thickBot="1" x14ac:dyDescent="0.25">
      <c r="A93" s="8"/>
      <c r="B93" s="8"/>
      <c r="C93" s="8"/>
      <c r="D93" s="9"/>
      <c r="E93" s="9"/>
      <c r="F93" s="9"/>
    </row>
    <row r="94" spans="1:6" ht="24.75" thickBot="1" x14ac:dyDescent="0.25">
      <c r="A94" s="58" t="s">
        <v>54</v>
      </c>
      <c r="B94" s="59" t="s">
        <v>55</v>
      </c>
      <c r="C94" s="156" t="s">
        <v>118</v>
      </c>
      <c r="D94" s="60" t="s">
        <v>112</v>
      </c>
      <c r="E94" s="60" t="s">
        <v>56</v>
      </c>
      <c r="F94" s="61" t="s">
        <v>57</v>
      </c>
    </row>
    <row r="95" spans="1:6" x14ac:dyDescent="0.2">
      <c r="A95" s="168" t="s">
        <v>58</v>
      </c>
      <c r="B95" s="12" t="s">
        <v>8</v>
      </c>
      <c r="C95" s="95">
        <v>24</v>
      </c>
      <c r="D95" s="83">
        <v>69</v>
      </c>
      <c r="E95" s="13">
        <f>IFERROR(D95/C95,0)</f>
        <v>2.875</v>
      </c>
      <c r="F95" s="9"/>
    </row>
    <row r="96" spans="1:6" x14ac:dyDescent="0.2">
      <c r="A96" s="14" t="s">
        <v>26</v>
      </c>
      <c r="B96" s="15" t="s">
        <v>8</v>
      </c>
      <c r="C96" s="95">
        <v>4</v>
      </c>
      <c r="D96" s="83">
        <v>40</v>
      </c>
      <c r="E96" s="13">
        <f t="shared" ref="E96:E108" si="1">IFERROR(D96/C96,0)</f>
        <v>10</v>
      </c>
      <c r="F96" s="9"/>
    </row>
    <row r="97" spans="1:6" x14ac:dyDescent="0.2">
      <c r="A97" s="14" t="s">
        <v>27</v>
      </c>
      <c r="B97" s="15" t="s">
        <v>8</v>
      </c>
      <c r="C97" s="95">
        <v>4</v>
      </c>
      <c r="D97" s="83">
        <v>16.5</v>
      </c>
      <c r="E97" s="13">
        <f t="shared" si="1"/>
        <v>4.125</v>
      </c>
      <c r="F97" s="9"/>
    </row>
    <row r="98" spans="1:6" x14ac:dyDescent="0.2">
      <c r="A98" s="14" t="s">
        <v>28</v>
      </c>
      <c r="B98" s="15" t="s">
        <v>8</v>
      </c>
      <c r="C98" s="95">
        <v>6</v>
      </c>
      <c r="D98" s="83">
        <v>12</v>
      </c>
      <c r="E98" s="13">
        <f t="shared" si="1"/>
        <v>2</v>
      </c>
      <c r="F98" s="9"/>
    </row>
    <row r="99" spans="1:6" x14ac:dyDescent="0.2">
      <c r="A99" s="14" t="s">
        <v>59</v>
      </c>
      <c r="B99" s="15" t="s">
        <v>39</v>
      </c>
      <c r="C99" s="95">
        <v>6</v>
      </c>
      <c r="D99" s="83">
        <v>60</v>
      </c>
      <c r="E99" s="13">
        <f t="shared" si="1"/>
        <v>10</v>
      </c>
      <c r="F99" s="9"/>
    </row>
    <row r="100" spans="1:6" x14ac:dyDescent="0.2">
      <c r="A100" s="176" t="s">
        <v>161</v>
      </c>
      <c r="B100" s="15" t="s">
        <v>39</v>
      </c>
      <c r="C100" s="95">
        <v>8</v>
      </c>
      <c r="D100" s="83">
        <v>30</v>
      </c>
      <c r="E100" s="13">
        <f t="shared" si="1"/>
        <v>3.75</v>
      </c>
      <c r="F100" s="9"/>
    </row>
    <row r="101" spans="1:6" x14ac:dyDescent="0.2">
      <c r="A101" s="176" t="s">
        <v>131</v>
      </c>
      <c r="B101" s="15" t="s">
        <v>8</v>
      </c>
      <c r="C101" s="95">
        <v>8</v>
      </c>
      <c r="D101" s="83">
        <v>30</v>
      </c>
      <c r="E101" s="13">
        <f t="shared" si="1"/>
        <v>3.75</v>
      </c>
      <c r="F101" s="9"/>
    </row>
    <row r="102" spans="1:6" x14ac:dyDescent="0.2">
      <c r="A102" s="2" t="s">
        <v>9</v>
      </c>
      <c r="B102" s="3" t="s">
        <v>8</v>
      </c>
      <c r="C102" s="95">
        <v>6</v>
      </c>
      <c r="D102" s="83">
        <v>15</v>
      </c>
      <c r="E102" s="13">
        <f t="shared" si="1"/>
        <v>2.5</v>
      </c>
      <c r="F102" s="36"/>
    </row>
    <row r="103" spans="1:6" x14ac:dyDescent="0.2">
      <c r="A103" s="14" t="s">
        <v>29</v>
      </c>
      <c r="B103" s="15" t="s">
        <v>39</v>
      </c>
      <c r="C103" s="95">
        <v>2</v>
      </c>
      <c r="D103" s="83">
        <v>15</v>
      </c>
      <c r="E103" s="13">
        <f t="shared" si="1"/>
        <v>7.5</v>
      </c>
      <c r="F103" s="9"/>
    </row>
    <row r="104" spans="1:6" x14ac:dyDescent="0.2">
      <c r="A104" s="176" t="s">
        <v>163</v>
      </c>
      <c r="B104" s="177" t="s">
        <v>8</v>
      </c>
      <c r="C104" s="95">
        <v>2</v>
      </c>
      <c r="D104" s="83">
        <v>6</v>
      </c>
      <c r="E104" s="13">
        <f t="shared" si="1"/>
        <v>3</v>
      </c>
      <c r="F104" s="9"/>
    </row>
    <row r="105" spans="1:6" x14ac:dyDescent="0.2">
      <c r="A105" s="176" t="s">
        <v>164</v>
      </c>
      <c r="B105" s="177" t="s">
        <v>8</v>
      </c>
      <c r="C105" s="95">
        <v>2</v>
      </c>
      <c r="D105" s="83">
        <v>20</v>
      </c>
      <c r="E105" s="13">
        <f t="shared" si="1"/>
        <v>10</v>
      </c>
      <c r="F105" s="9"/>
    </row>
    <row r="106" spans="1:6" x14ac:dyDescent="0.2">
      <c r="A106" s="176" t="s">
        <v>165</v>
      </c>
      <c r="B106" s="177" t="s">
        <v>8</v>
      </c>
      <c r="C106" s="95">
        <v>2</v>
      </c>
      <c r="D106" s="83">
        <v>18</v>
      </c>
      <c r="E106" s="13">
        <f t="shared" si="1"/>
        <v>9</v>
      </c>
      <c r="F106" s="9"/>
    </row>
    <row r="107" spans="1:6" x14ac:dyDescent="0.2">
      <c r="A107" s="176" t="s">
        <v>166</v>
      </c>
      <c r="B107" s="177" t="s">
        <v>8</v>
      </c>
      <c r="C107" s="95">
        <v>1</v>
      </c>
      <c r="D107" s="83">
        <v>2</v>
      </c>
      <c r="E107" s="13">
        <f t="shared" si="1"/>
        <v>2</v>
      </c>
      <c r="F107" s="9"/>
    </row>
    <row r="108" spans="1:6" x14ac:dyDescent="0.2">
      <c r="A108" s="14" t="s">
        <v>53</v>
      </c>
      <c r="B108" s="15" t="s">
        <v>40</v>
      </c>
      <c r="C108" s="95">
        <v>1</v>
      </c>
      <c r="D108" s="83">
        <v>27.5</v>
      </c>
      <c r="E108" s="13">
        <f t="shared" si="1"/>
        <v>27.5</v>
      </c>
      <c r="F108" s="9"/>
    </row>
    <row r="109" spans="1:6" x14ac:dyDescent="0.2">
      <c r="A109" s="176" t="s">
        <v>162</v>
      </c>
      <c r="B109" s="177" t="s">
        <v>8</v>
      </c>
      <c r="C109" s="115">
        <v>6</v>
      </c>
      <c r="D109" s="83">
        <v>60</v>
      </c>
      <c r="E109" s="16">
        <f>D109/C109</f>
        <v>10</v>
      </c>
      <c r="F109" s="9"/>
    </row>
    <row r="110" spans="1:6" ht="13.5" thickBot="1" x14ac:dyDescent="0.25">
      <c r="A110" s="14" t="s">
        <v>4</v>
      </c>
      <c r="B110" s="15" t="s">
        <v>5</v>
      </c>
      <c r="C110" s="66">
        <v>2</v>
      </c>
      <c r="D110" s="16">
        <f>+SUM(E95:E109)</f>
        <v>108</v>
      </c>
      <c r="E110" s="16">
        <f t="shared" ref="E110" si="2">C110*D110</f>
        <v>216</v>
      </c>
      <c r="F110" s="9"/>
    </row>
    <row r="111" spans="1:6" ht="13.5" thickBot="1" x14ac:dyDescent="0.25">
      <c r="A111" s="8"/>
      <c r="B111" s="8"/>
      <c r="C111" s="8"/>
      <c r="D111" s="116" t="s">
        <v>90</v>
      </c>
      <c r="E111" s="48">
        <v>1</v>
      </c>
      <c r="F111" s="117">
        <f>E110*E111</f>
        <v>216</v>
      </c>
    </row>
    <row r="112" spans="1:6" x14ac:dyDescent="0.2">
      <c r="A112" s="8"/>
      <c r="B112" s="8"/>
      <c r="C112" s="8"/>
      <c r="D112" s="9"/>
      <c r="E112" s="9"/>
      <c r="F112" s="9"/>
    </row>
    <row r="113" spans="1:6" ht="13.5" thickBot="1" x14ac:dyDescent="0.25">
      <c r="A113" s="8"/>
      <c r="B113" s="8"/>
      <c r="C113" s="8"/>
      <c r="D113" s="9"/>
      <c r="E113" s="9"/>
      <c r="F113" s="9"/>
    </row>
    <row r="114" spans="1:6" ht="13.5" thickBot="1" x14ac:dyDescent="0.25">
      <c r="A114" s="22" t="s">
        <v>92</v>
      </c>
      <c r="B114" s="26"/>
      <c r="C114" s="26"/>
      <c r="D114" s="27"/>
      <c r="E114" s="28"/>
      <c r="F114" s="19">
        <f>F111</f>
        <v>216</v>
      </c>
    </row>
    <row r="115" spans="1:6" x14ac:dyDescent="0.2">
      <c r="A115" s="8"/>
      <c r="B115" s="8"/>
      <c r="C115" s="8"/>
      <c r="D115" s="9"/>
      <c r="E115" s="9"/>
      <c r="F115" s="9"/>
    </row>
    <row r="116" spans="1:6" x14ac:dyDescent="0.2">
      <c r="A116" s="10" t="s">
        <v>44</v>
      </c>
      <c r="B116" s="8"/>
      <c r="C116" s="8"/>
      <c r="D116" s="9"/>
      <c r="E116" s="9"/>
      <c r="F116" s="9"/>
    </row>
    <row r="117" spans="1:6" x14ac:dyDescent="0.2">
      <c r="A117" s="8"/>
      <c r="B117" s="101"/>
      <c r="C117" s="8"/>
      <c r="D117" s="9"/>
      <c r="E117" s="9"/>
      <c r="F117" s="9"/>
    </row>
    <row r="118" spans="1:6" x14ac:dyDescent="0.2">
      <c r="A118" s="6" t="s">
        <v>126</v>
      </c>
      <c r="B118" s="8"/>
      <c r="C118" s="8"/>
      <c r="D118" s="9"/>
      <c r="E118" s="9"/>
      <c r="F118" s="9"/>
    </row>
    <row r="119" spans="1:6" x14ac:dyDescent="0.2">
      <c r="A119" s="8"/>
      <c r="B119" s="8"/>
      <c r="C119" s="8"/>
      <c r="D119" s="9"/>
      <c r="E119" s="9"/>
      <c r="F119" s="9"/>
    </row>
    <row r="120" spans="1:6" ht="13.5" thickBot="1" x14ac:dyDescent="0.25">
      <c r="A120" s="101" t="s">
        <v>37</v>
      </c>
      <c r="B120" s="8"/>
      <c r="C120" s="8"/>
      <c r="D120" s="9"/>
      <c r="E120" s="9"/>
      <c r="F120" s="9"/>
    </row>
    <row r="121" spans="1:6" ht="13.5" thickBot="1" x14ac:dyDescent="0.25">
      <c r="A121" s="58" t="s">
        <v>54</v>
      </c>
      <c r="B121" s="59" t="s">
        <v>55</v>
      </c>
      <c r="C121" s="59" t="s">
        <v>35</v>
      </c>
      <c r="D121" s="60" t="s">
        <v>112</v>
      </c>
      <c r="E121" s="60" t="s">
        <v>56</v>
      </c>
      <c r="F121" s="61" t="s">
        <v>57</v>
      </c>
    </row>
    <row r="122" spans="1:6" x14ac:dyDescent="0.2">
      <c r="A122" s="11" t="s">
        <v>76</v>
      </c>
      <c r="B122" s="12" t="s">
        <v>8</v>
      </c>
      <c r="C122" s="162"/>
      <c r="D122" s="83"/>
      <c r="E122" s="13"/>
      <c r="F122" s="9"/>
    </row>
    <row r="123" spans="1:6" x14ac:dyDescent="0.2">
      <c r="A123" s="14" t="s">
        <v>72</v>
      </c>
      <c r="B123" s="15" t="s">
        <v>73</v>
      </c>
      <c r="C123" s="82"/>
      <c r="D123" s="79"/>
      <c r="E123" s="16"/>
      <c r="F123" s="9"/>
    </row>
    <row r="124" spans="1:6" x14ac:dyDescent="0.2">
      <c r="A124" s="14" t="s">
        <v>96</v>
      </c>
      <c r="B124" s="15" t="s">
        <v>73</v>
      </c>
      <c r="C124" s="82"/>
      <c r="D124" s="16"/>
      <c r="E124" s="16"/>
      <c r="F124" s="18"/>
    </row>
    <row r="125" spans="1:6" x14ac:dyDescent="0.2">
      <c r="A125" s="14" t="s">
        <v>75</v>
      </c>
      <c r="B125" s="15" t="s">
        <v>1</v>
      </c>
      <c r="C125" s="127"/>
      <c r="D125" s="16"/>
      <c r="E125" s="16"/>
      <c r="F125" s="9"/>
    </row>
    <row r="126" spans="1:6" ht="13.5" thickBot="1" x14ac:dyDescent="0.25">
      <c r="A126" s="164" t="s">
        <v>143</v>
      </c>
      <c r="B126" s="165" t="s">
        <v>6</v>
      </c>
      <c r="C126" s="165"/>
      <c r="D126" s="166"/>
      <c r="E126" s="166"/>
      <c r="F126" s="9"/>
    </row>
    <row r="127" spans="1:6" ht="13.5" thickTop="1" x14ac:dyDescent="0.2">
      <c r="A127" s="168" t="s">
        <v>132</v>
      </c>
      <c r="B127" s="12" t="s">
        <v>8</v>
      </c>
      <c r="C127" s="12"/>
      <c r="D127" s="83"/>
      <c r="E127" s="13"/>
      <c r="F127" s="9"/>
    </row>
    <row r="128" spans="1:6" x14ac:dyDescent="0.2">
      <c r="A128" s="176" t="s">
        <v>133</v>
      </c>
      <c r="B128" s="15" t="s">
        <v>73</v>
      </c>
      <c r="C128" s="82"/>
      <c r="D128" s="16"/>
      <c r="E128" s="16"/>
      <c r="F128" s="9"/>
    </row>
    <row r="129" spans="1:6" x14ac:dyDescent="0.2">
      <c r="A129" s="176" t="s">
        <v>134</v>
      </c>
      <c r="B129" s="15" t="s">
        <v>73</v>
      </c>
      <c r="C129" s="82"/>
      <c r="D129" s="16"/>
      <c r="E129" s="16"/>
      <c r="F129" s="18"/>
    </row>
    <row r="130" spans="1:6" x14ac:dyDescent="0.2">
      <c r="A130" s="14" t="s">
        <v>74</v>
      </c>
      <c r="B130" s="15" t="s">
        <v>1</v>
      </c>
      <c r="C130" s="128"/>
      <c r="D130" s="16"/>
      <c r="E130" s="16"/>
      <c r="F130" s="9"/>
    </row>
    <row r="131" spans="1:6" x14ac:dyDescent="0.2">
      <c r="A131" s="97" t="s">
        <v>144</v>
      </c>
      <c r="B131" s="98" t="s">
        <v>6</v>
      </c>
      <c r="C131" s="98"/>
      <c r="D131" s="99"/>
      <c r="E131" s="99"/>
      <c r="F131" s="9"/>
    </row>
    <row r="132" spans="1:6" x14ac:dyDescent="0.2">
      <c r="A132" s="111" t="s">
        <v>121</v>
      </c>
      <c r="B132" s="112"/>
      <c r="C132" s="112"/>
      <c r="D132" s="113"/>
      <c r="E132" s="114"/>
      <c r="F132" s="9"/>
    </row>
    <row r="133" spans="1:6" ht="13.5" thickBot="1" x14ac:dyDescent="0.25">
      <c r="A133" s="97" t="s">
        <v>122</v>
      </c>
      <c r="B133" s="98" t="s">
        <v>8</v>
      </c>
      <c r="C133" s="82"/>
      <c r="D133" s="99"/>
      <c r="E133" s="114"/>
      <c r="F133" s="9"/>
    </row>
    <row r="134" spans="1:6" ht="13.5" thickBot="1" x14ac:dyDescent="0.25">
      <c r="A134" s="161"/>
      <c r="B134" s="161"/>
      <c r="C134" s="161"/>
      <c r="D134" s="116" t="s">
        <v>90</v>
      </c>
      <c r="E134" s="48"/>
      <c r="F134" s="19"/>
    </row>
    <row r="135" spans="1:6" x14ac:dyDescent="0.2">
      <c r="A135" s="8"/>
      <c r="B135" s="8"/>
      <c r="C135" s="8"/>
      <c r="D135" s="9"/>
      <c r="E135" s="9"/>
      <c r="F135" s="9"/>
    </row>
    <row r="136" spans="1:6" ht="13.5" thickBot="1" x14ac:dyDescent="0.25">
      <c r="A136" s="101" t="s">
        <v>80</v>
      </c>
      <c r="B136" s="8"/>
      <c r="C136" s="8"/>
      <c r="D136" s="9"/>
      <c r="E136" s="9"/>
      <c r="F136" s="9"/>
    </row>
    <row r="137" spans="1:6" ht="13.5" thickBot="1" x14ac:dyDescent="0.25">
      <c r="A137" s="103" t="s">
        <v>54</v>
      </c>
      <c r="B137" s="104" t="s">
        <v>55</v>
      </c>
      <c r="C137" s="104" t="s">
        <v>35</v>
      </c>
      <c r="D137" s="60" t="s">
        <v>112</v>
      </c>
      <c r="E137" s="105" t="s">
        <v>56</v>
      </c>
      <c r="F137" s="61" t="s">
        <v>57</v>
      </c>
    </row>
    <row r="138" spans="1:6" x14ac:dyDescent="0.2">
      <c r="A138" s="14" t="s">
        <v>79</v>
      </c>
      <c r="B138" s="15" t="s">
        <v>8</v>
      </c>
      <c r="C138" s="162"/>
      <c r="D138" s="16"/>
      <c r="E138" s="16"/>
      <c r="F138" s="18"/>
    </row>
    <row r="139" spans="1:6" x14ac:dyDescent="0.2">
      <c r="A139" s="14" t="s">
        <v>98</v>
      </c>
      <c r="B139" s="15" t="s">
        <v>1</v>
      </c>
      <c r="C139" s="82"/>
      <c r="D139" s="16"/>
      <c r="E139" s="16"/>
      <c r="F139" s="18"/>
    </row>
    <row r="140" spans="1:6" x14ac:dyDescent="0.2">
      <c r="A140" s="14" t="s">
        <v>97</v>
      </c>
      <c r="B140" s="15" t="s">
        <v>30</v>
      </c>
      <c r="C140" s="131"/>
      <c r="D140" s="16"/>
      <c r="E140" s="16"/>
      <c r="F140" s="18"/>
    </row>
    <row r="141" spans="1:6" x14ac:dyDescent="0.2">
      <c r="A141" s="14" t="s">
        <v>82</v>
      </c>
      <c r="B141" s="15" t="s">
        <v>30</v>
      </c>
      <c r="C141" s="79"/>
      <c r="D141" s="16"/>
      <c r="E141" s="16"/>
      <c r="F141" s="18"/>
    </row>
    <row r="142" spans="1:6" ht="13.5" thickBot="1" x14ac:dyDescent="0.25">
      <c r="A142" s="164" t="s">
        <v>83</v>
      </c>
      <c r="B142" s="165" t="s">
        <v>30</v>
      </c>
      <c r="C142" s="165"/>
      <c r="D142" s="167"/>
      <c r="E142" s="166"/>
      <c r="F142" s="18"/>
    </row>
    <row r="143" spans="1:6" ht="13.5" thickTop="1" x14ac:dyDescent="0.2">
      <c r="A143" s="168" t="s">
        <v>135</v>
      </c>
      <c r="B143" s="12" t="s">
        <v>8</v>
      </c>
      <c r="C143" s="12"/>
      <c r="D143" s="13"/>
      <c r="E143" s="13"/>
      <c r="F143" s="18"/>
    </row>
    <row r="144" spans="1:6" x14ac:dyDescent="0.2">
      <c r="A144" s="14" t="s">
        <v>98</v>
      </c>
      <c r="B144" s="15" t="s">
        <v>1</v>
      </c>
      <c r="C144" s="163"/>
      <c r="D144" s="16"/>
      <c r="E144" s="16"/>
      <c r="F144" s="18"/>
    </row>
    <row r="145" spans="1:6" x14ac:dyDescent="0.2">
      <c r="A145" s="176" t="s">
        <v>136</v>
      </c>
      <c r="B145" s="15" t="s">
        <v>30</v>
      </c>
      <c r="C145" s="131"/>
      <c r="D145" s="16"/>
      <c r="E145" s="16"/>
      <c r="F145" s="18"/>
    </row>
    <row r="146" spans="1:6" x14ac:dyDescent="0.2">
      <c r="A146" s="176" t="s">
        <v>137</v>
      </c>
      <c r="B146" s="15" t="s">
        <v>30</v>
      </c>
      <c r="C146" s="79"/>
      <c r="D146" s="16"/>
      <c r="E146" s="16"/>
      <c r="F146" s="18"/>
    </row>
    <row r="147" spans="1:6" x14ac:dyDescent="0.2">
      <c r="A147" s="97" t="s">
        <v>142</v>
      </c>
      <c r="B147" s="98" t="s">
        <v>30</v>
      </c>
      <c r="C147" s="98"/>
      <c r="D147" s="107"/>
      <c r="E147" s="99"/>
      <c r="F147" s="18"/>
    </row>
    <row r="148" spans="1:6" x14ac:dyDescent="0.2">
      <c r="A148" s="111" t="s">
        <v>121</v>
      </c>
      <c r="B148" s="112"/>
      <c r="C148" s="112"/>
      <c r="D148" s="113"/>
      <c r="E148" s="114"/>
      <c r="F148" s="18"/>
    </row>
    <row r="149" spans="1:6" ht="13.5" thickBot="1" x14ac:dyDescent="0.25">
      <c r="A149" s="97" t="s">
        <v>122</v>
      </c>
      <c r="B149" s="98" t="s">
        <v>8</v>
      </c>
      <c r="C149" s="163"/>
      <c r="D149" s="99"/>
      <c r="E149" s="114"/>
      <c r="F149" s="18"/>
    </row>
    <row r="150" spans="1:6" ht="13.5" thickBot="1" x14ac:dyDescent="0.25">
      <c r="A150" s="8"/>
      <c r="B150" s="8"/>
      <c r="C150" s="17"/>
      <c r="D150" s="116" t="s">
        <v>90</v>
      </c>
      <c r="E150" s="48"/>
      <c r="F150" s="19"/>
    </row>
    <row r="151" spans="1:6" x14ac:dyDescent="0.2">
      <c r="A151" s="8"/>
      <c r="B151" s="8"/>
      <c r="C151" s="8"/>
      <c r="D151" s="9"/>
      <c r="E151" s="9"/>
      <c r="F151" s="9"/>
    </row>
    <row r="152" spans="1:6" ht="13.5" thickBot="1" x14ac:dyDescent="0.25">
      <c r="A152" s="8" t="s">
        <v>41</v>
      </c>
      <c r="B152" s="8"/>
      <c r="C152" s="8"/>
      <c r="D152" s="9"/>
      <c r="E152" s="9"/>
      <c r="F152" s="9"/>
    </row>
    <row r="153" spans="1:6" ht="13.5" thickBot="1" x14ac:dyDescent="0.25">
      <c r="A153" s="58" t="s">
        <v>54</v>
      </c>
      <c r="B153" s="59" t="s">
        <v>55</v>
      </c>
      <c r="C153" s="59" t="s">
        <v>35</v>
      </c>
      <c r="D153" s="60" t="s">
        <v>112</v>
      </c>
      <c r="E153" s="60" t="s">
        <v>56</v>
      </c>
      <c r="F153" s="61" t="s">
        <v>57</v>
      </c>
    </row>
    <row r="154" spans="1:6" x14ac:dyDescent="0.2">
      <c r="A154" s="11" t="s">
        <v>10</v>
      </c>
      <c r="B154" s="12" t="s">
        <v>8</v>
      </c>
      <c r="C154" s="13"/>
      <c r="D154" s="13"/>
      <c r="E154" s="13"/>
      <c r="F154" s="9"/>
    </row>
    <row r="155" spans="1:6" x14ac:dyDescent="0.2">
      <c r="A155" s="14" t="s">
        <v>89</v>
      </c>
      <c r="B155" s="15" t="s">
        <v>8</v>
      </c>
      <c r="C155" s="13"/>
      <c r="D155" s="84"/>
      <c r="E155" s="16"/>
      <c r="F155" s="9"/>
    </row>
    <row r="156" spans="1:6" x14ac:dyDescent="0.2">
      <c r="A156" s="14" t="s">
        <v>11</v>
      </c>
      <c r="B156" s="15" t="s">
        <v>8</v>
      </c>
      <c r="C156" s="13"/>
      <c r="D156" s="84"/>
      <c r="E156" s="16"/>
      <c r="F156" s="29"/>
    </row>
    <row r="157" spans="1:6" ht="13.5" thickBot="1" x14ac:dyDescent="0.25">
      <c r="A157" s="97" t="s">
        <v>12</v>
      </c>
      <c r="B157" s="98" t="s">
        <v>6</v>
      </c>
      <c r="C157" s="98"/>
      <c r="D157" s="99"/>
      <c r="E157" s="99"/>
      <c r="F157" s="9"/>
    </row>
    <row r="158" spans="1:6" ht="13.5" thickBot="1" x14ac:dyDescent="0.25">
      <c r="A158" s="8"/>
      <c r="B158" s="8"/>
      <c r="C158" s="8"/>
      <c r="D158" s="116" t="s">
        <v>90</v>
      </c>
      <c r="E158" s="48"/>
      <c r="F158" s="117"/>
    </row>
    <row r="159" spans="1:6" x14ac:dyDescent="0.2">
      <c r="A159" s="8"/>
      <c r="B159" s="8"/>
      <c r="C159" s="8"/>
      <c r="D159" s="9"/>
      <c r="E159" s="9"/>
      <c r="F159" s="9"/>
    </row>
    <row r="160" spans="1:6" x14ac:dyDescent="0.2">
      <c r="A160" s="8" t="s">
        <v>42</v>
      </c>
      <c r="B160" s="30"/>
      <c r="C160" s="8"/>
      <c r="D160" s="9"/>
      <c r="E160" s="9"/>
      <c r="F160" s="9"/>
    </row>
    <row r="161" spans="1:6" x14ac:dyDescent="0.2">
      <c r="A161" s="8"/>
      <c r="B161" s="30"/>
      <c r="C161" s="8"/>
      <c r="D161" s="9"/>
      <c r="E161" s="9"/>
      <c r="F161" s="9"/>
    </row>
    <row r="162" spans="1:6" x14ac:dyDescent="0.2">
      <c r="A162" s="97" t="s">
        <v>85</v>
      </c>
      <c r="B162" s="108"/>
      <c r="C162" s="30"/>
      <c r="D162" s="9"/>
      <c r="E162" s="9"/>
      <c r="F162" s="9"/>
    </row>
    <row r="163" spans="1:6" ht="13.5" thickBot="1" x14ac:dyDescent="0.25">
      <c r="A163" s="8"/>
      <c r="B163" s="30"/>
      <c r="C163" s="8"/>
      <c r="D163" s="9"/>
      <c r="E163" s="9"/>
      <c r="F163" s="9"/>
    </row>
    <row r="164" spans="1:6" ht="13.5" thickBot="1" x14ac:dyDescent="0.25">
      <c r="A164" s="58" t="s">
        <v>54</v>
      </c>
      <c r="B164" s="59" t="s">
        <v>55</v>
      </c>
      <c r="C164" s="59" t="s">
        <v>120</v>
      </c>
      <c r="D164" s="60" t="s">
        <v>112</v>
      </c>
      <c r="E164" s="60" t="s">
        <v>56</v>
      </c>
      <c r="F164" s="61" t="s">
        <v>57</v>
      </c>
    </row>
    <row r="165" spans="1:6" x14ac:dyDescent="0.2">
      <c r="A165" s="11" t="s">
        <v>13</v>
      </c>
      <c r="B165" s="12" t="s">
        <v>14</v>
      </c>
      <c r="C165" s="91"/>
      <c r="D165" s="92"/>
      <c r="E165" s="13"/>
      <c r="F165" s="9"/>
    </row>
    <row r="166" spans="1:6" x14ac:dyDescent="0.2">
      <c r="A166" s="14" t="s">
        <v>15</v>
      </c>
      <c r="B166" s="15" t="s">
        <v>16</v>
      </c>
      <c r="C166" s="88"/>
      <c r="D166" s="160"/>
      <c r="E166" s="16"/>
      <c r="F166" s="9"/>
    </row>
    <row r="167" spans="1:6" x14ac:dyDescent="0.2">
      <c r="A167" s="14" t="s">
        <v>113</v>
      </c>
      <c r="B167" s="15" t="s">
        <v>17</v>
      </c>
      <c r="C167" s="94"/>
      <c r="D167" s="84"/>
      <c r="E167" s="16"/>
      <c r="F167" s="9"/>
    </row>
    <row r="168" spans="1:6" x14ac:dyDescent="0.2">
      <c r="A168" s="14" t="s">
        <v>18</v>
      </c>
      <c r="B168" s="15" t="s">
        <v>16</v>
      </c>
      <c r="C168" s="88"/>
      <c r="D168" s="157"/>
      <c r="E168" s="16"/>
      <c r="F168" s="9"/>
    </row>
    <row r="169" spans="1:6" x14ac:dyDescent="0.2">
      <c r="A169" s="14" t="s">
        <v>114</v>
      </c>
      <c r="B169" s="15" t="s">
        <v>17</v>
      </c>
      <c r="C169" s="94"/>
      <c r="D169" s="84"/>
      <c r="E169" s="16"/>
      <c r="F169" s="9"/>
    </row>
    <row r="170" spans="1:6" x14ac:dyDescent="0.2">
      <c r="A170" s="14" t="s">
        <v>19</v>
      </c>
      <c r="B170" s="15" t="s">
        <v>16</v>
      </c>
      <c r="C170" s="88"/>
      <c r="D170" s="157"/>
      <c r="E170" s="16"/>
      <c r="F170" s="9"/>
    </row>
    <row r="171" spans="1:6" x14ac:dyDescent="0.2">
      <c r="A171" s="14" t="s">
        <v>115</v>
      </c>
      <c r="B171" s="15" t="s">
        <v>17</v>
      </c>
      <c r="C171" s="94"/>
      <c r="D171" s="84"/>
      <c r="E171" s="16"/>
      <c r="F171" s="9"/>
    </row>
    <row r="172" spans="1:6" x14ac:dyDescent="0.2">
      <c r="A172" s="14" t="s">
        <v>20</v>
      </c>
      <c r="B172" s="15" t="s">
        <v>16</v>
      </c>
      <c r="C172" s="88"/>
      <c r="D172" s="157"/>
      <c r="E172" s="16"/>
      <c r="F172" s="9"/>
    </row>
    <row r="173" spans="1:6" x14ac:dyDescent="0.2">
      <c r="A173" s="14" t="s">
        <v>21</v>
      </c>
      <c r="B173" s="15" t="s">
        <v>22</v>
      </c>
      <c r="C173" s="94"/>
      <c r="D173" s="84"/>
      <c r="E173" s="16"/>
      <c r="F173" s="9"/>
    </row>
    <row r="174" spans="1:6" x14ac:dyDescent="0.2">
      <c r="A174" s="14" t="s">
        <v>23</v>
      </c>
      <c r="B174" s="15" t="s">
        <v>16</v>
      </c>
      <c r="C174" s="88"/>
      <c r="D174" s="157"/>
      <c r="E174" s="16"/>
      <c r="F174" s="9"/>
    </row>
    <row r="175" spans="1:6" ht="13.5" thickBot="1" x14ac:dyDescent="0.25">
      <c r="A175" s="97" t="s">
        <v>119</v>
      </c>
      <c r="B175" s="98" t="s">
        <v>86</v>
      </c>
      <c r="C175" s="158"/>
      <c r="D175" s="159"/>
      <c r="E175" s="16"/>
      <c r="F175" s="9"/>
    </row>
    <row r="176" spans="1:6" ht="13.5" thickBot="1" x14ac:dyDescent="0.25">
      <c r="A176" s="8"/>
      <c r="B176" s="8"/>
      <c r="C176" s="8"/>
      <c r="D176" s="9"/>
      <c r="E176" s="9"/>
      <c r="F176" s="19"/>
    </row>
    <row r="177" spans="1:6" x14ac:dyDescent="0.2">
      <c r="A177" s="8"/>
      <c r="B177" s="8"/>
      <c r="C177" s="8"/>
      <c r="D177" s="9"/>
      <c r="E177" s="9"/>
      <c r="F177" s="9"/>
    </row>
    <row r="178" spans="1:6" ht="13.5" thickBot="1" x14ac:dyDescent="0.25">
      <c r="A178" s="8" t="s">
        <v>43</v>
      </c>
      <c r="B178" s="8"/>
      <c r="C178" s="8"/>
      <c r="D178" s="9"/>
      <c r="E178" s="9"/>
      <c r="F178" s="9"/>
    </row>
    <row r="179" spans="1:6" ht="13.5" thickBot="1" x14ac:dyDescent="0.25">
      <c r="A179" s="58" t="s">
        <v>54</v>
      </c>
      <c r="B179" s="59" t="s">
        <v>55</v>
      </c>
      <c r="C179" s="59" t="s">
        <v>35</v>
      </c>
      <c r="D179" s="60" t="s">
        <v>112</v>
      </c>
      <c r="E179" s="60" t="s">
        <v>56</v>
      </c>
      <c r="F179" s="61" t="s">
        <v>57</v>
      </c>
    </row>
    <row r="180" spans="1:6" ht="13.5" thickBot="1" x14ac:dyDescent="0.25">
      <c r="A180" s="11" t="s">
        <v>84</v>
      </c>
      <c r="B180" s="12" t="s">
        <v>86</v>
      </c>
      <c r="C180" s="88"/>
      <c r="D180" s="170"/>
      <c r="E180" s="13"/>
      <c r="F180" s="9"/>
    </row>
    <row r="181" spans="1:6" ht="13.5" thickBot="1" x14ac:dyDescent="0.25">
      <c r="A181" s="8"/>
      <c r="B181" s="8"/>
      <c r="C181" s="8"/>
      <c r="D181" s="9"/>
      <c r="E181" s="9"/>
      <c r="F181" s="19"/>
    </row>
    <row r="182" spans="1:6" x14ac:dyDescent="0.2">
      <c r="A182" s="8"/>
      <c r="B182" s="8"/>
      <c r="C182" s="8"/>
      <c r="D182" s="9"/>
      <c r="E182" s="9"/>
      <c r="F182" s="9"/>
    </row>
    <row r="183" spans="1:6" ht="13.5" thickBot="1" x14ac:dyDescent="0.25">
      <c r="A183" s="8" t="s">
        <v>52</v>
      </c>
      <c r="B183" s="8"/>
      <c r="C183" s="8"/>
      <c r="D183" s="9"/>
      <c r="E183" s="9"/>
      <c r="F183" s="9"/>
    </row>
    <row r="184" spans="1:6" ht="13.5" thickBot="1" x14ac:dyDescent="0.25">
      <c r="A184" s="58" t="s">
        <v>54</v>
      </c>
      <c r="B184" s="59" t="s">
        <v>55</v>
      </c>
      <c r="C184" s="59" t="s">
        <v>35</v>
      </c>
      <c r="D184" s="60" t="s">
        <v>112</v>
      </c>
      <c r="E184" s="60" t="s">
        <v>56</v>
      </c>
      <c r="F184" s="61" t="s">
        <v>57</v>
      </c>
    </row>
    <row r="185" spans="1:6" x14ac:dyDescent="0.2">
      <c r="A185" s="168" t="s">
        <v>138</v>
      </c>
      <c r="B185" s="12" t="s">
        <v>8</v>
      </c>
      <c r="C185" s="90"/>
      <c r="D185" s="83"/>
      <c r="E185" s="13"/>
      <c r="F185" s="9"/>
    </row>
    <row r="186" spans="1:6" x14ac:dyDescent="0.2">
      <c r="A186" s="11" t="s">
        <v>87</v>
      </c>
      <c r="B186" s="12" t="s">
        <v>8</v>
      </c>
      <c r="C186" s="90"/>
      <c r="D186" s="100"/>
      <c r="E186" s="13"/>
      <c r="F186" s="9"/>
    </row>
    <row r="187" spans="1:6" x14ac:dyDescent="0.2">
      <c r="A187" s="11" t="s">
        <v>60</v>
      </c>
      <c r="B187" s="12" t="s">
        <v>8</v>
      </c>
      <c r="C187" s="13"/>
      <c r="D187" s="83"/>
      <c r="E187" s="13"/>
      <c r="F187" s="9"/>
    </row>
    <row r="188" spans="1:6" x14ac:dyDescent="0.2">
      <c r="A188" s="176" t="s">
        <v>139</v>
      </c>
      <c r="B188" s="15" t="s">
        <v>24</v>
      </c>
      <c r="C188" s="93"/>
      <c r="D188" s="16"/>
      <c r="E188" s="16"/>
      <c r="F188" s="9"/>
    </row>
    <row r="189" spans="1:6" ht="13.5" thickBot="1" x14ac:dyDescent="0.25">
      <c r="A189" s="14" t="s">
        <v>45</v>
      </c>
      <c r="B189" s="15" t="s">
        <v>16</v>
      </c>
      <c r="C189" s="88"/>
      <c r="D189" s="16"/>
      <c r="E189" s="16"/>
      <c r="F189" s="9"/>
    </row>
    <row r="190" spans="1:6" ht="13.5" thickBot="1" x14ac:dyDescent="0.25">
      <c r="A190" s="8"/>
      <c r="B190" s="8"/>
      <c r="C190" s="8"/>
      <c r="D190" s="9"/>
      <c r="E190" s="9"/>
      <c r="F190" s="19"/>
    </row>
    <row r="191" spans="1:6" x14ac:dyDescent="0.2">
      <c r="A191" s="8"/>
      <c r="B191" s="8"/>
      <c r="C191" s="8"/>
      <c r="D191" s="9"/>
      <c r="E191" s="9"/>
      <c r="F191" s="9"/>
    </row>
    <row r="192" spans="1:6" x14ac:dyDescent="0.2">
      <c r="A192" s="189" t="s">
        <v>180</v>
      </c>
      <c r="B192" s="189"/>
      <c r="C192" s="189"/>
      <c r="D192" s="189"/>
      <c r="E192" s="9"/>
      <c r="F192" s="9"/>
    </row>
    <row r="193" spans="1:6" x14ac:dyDescent="0.2">
      <c r="A193" s="8"/>
      <c r="B193" s="8"/>
      <c r="C193" s="8"/>
      <c r="D193" s="9"/>
      <c r="E193" s="9"/>
      <c r="F193" s="9"/>
    </row>
    <row r="194" spans="1:6" ht="13.5" thickBot="1" x14ac:dyDescent="0.25">
      <c r="A194" s="101" t="s">
        <v>37</v>
      </c>
      <c r="B194" s="8"/>
      <c r="C194" s="8"/>
      <c r="D194" s="9"/>
      <c r="E194" s="9"/>
      <c r="F194" s="9"/>
    </row>
    <row r="195" spans="1:6" ht="13.5" thickBot="1" x14ac:dyDescent="0.25">
      <c r="A195" s="58" t="s">
        <v>54</v>
      </c>
      <c r="B195" s="59" t="s">
        <v>55</v>
      </c>
      <c r="C195" s="59" t="s">
        <v>35</v>
      </c>
      <c r="D195" s="60" t="s">
        <v>112</v>
      </c>
      <c r="E195" s="60" t="s">
        <v>56</v>
      </c>
      <c r="F195" s="61" t="s">
        <v>57</v>
      </c>
    </row>
    <row r="196" spans="1:6" x14ac:dyDescent="0.2">
      <c r="A196" s="11" t="s">
        <v>76</v>
      </c>
      <c r="B196" s="12" t="s">
        <v>8</v>
      </c>
      <c r="C196" s="162">
        <v>1</v>
      </c>
      <c r="D196" s="83">
        <v>90000</v>
      </c>
      <c r="E196" s="13">
        <f>C196*D196</f>
        <v>90000</v>
      </c>
      <c r="F196" s="9"/>
    </row>
    <row r="197" spans="1:6" x14ac:dyDescent="0.2">
      <c r="A197" s="14" t="s">
        <v>72</v>
      </c>
      <c r="B197" s="15" t="s">
        <v>73</v>
      </c>
      <c r="C197" s="82">
        <v>10</v>
      </c>
      <c r="D197" s="79"/>
      <c r="E197" s="16"/>
      <c r="F197" s="9"/>
    </row>
    <row r="198" spans="1:6" x14ac:dyDescent="0.2">
      <c r="A198" s="14" t="s">
        <v>96</v>
      </c>
      <c r="B198" s="15" t="s">
        <v>73</v>
      </c>
      <c r="C198" s="82">
        <v>0</v>
      </c>
      <c r="D198" s="16"/>
      <c r="E198" s="16"/>
      <c r="F198" s="18"/>
    </row>
    <row r="199" spans="1:6" x14ac:dyDescent="0.2">
      <c r="A199" s="14" t="s">
        <v>75</v>
      </c>
      <c r="B199" s="15" t="s">
        <v>1</v>
      </c>
      <c r="C199" s="127">
        <v>65.180000000000007</v>
      </c>
      <c r="D199" s="16">
        <f>E196</f>
        <v>90000</v>
      </c>
      <c r="E199" s="16">
        <f>C199*D199/100</f>
        <v>58662.000000000007</v>
      </c>
      <c r="F199" s="9"/>
    </row>
    <row r="200" spans="1:6" ht="13.5" thickBot="1" x14ac:dyDescent="0.25">
      <c r="A200" s="164" t="s">
        <v>140</v>
      </c>
      <c r="B200" s="165" t="s">
        <v>6</v>
      </c>
      <c r="C200" s="165">
        <f>C197*12</f>
        <v>120</v>
      </c>
      <c r="D200" s="166">
        <f>IF(C198&lt;=C197,E199,0)</f>
        <v>58662.000000000007</v>
      </c>
      <c r="E200" s="166">
        <f>IFERROR(D200/C200,0)</f>
        <v>488.85000000000008</v>
      </c>
      <c r="F200" s="9"/>
    </row>
    <row r="201" spans="1:6" ht="13.5" thickTop="1" x14ac:dyDescent="0.2">
      <c r="A201" s="111" t="s">
        <v>121</v>
      </c>
      <c r="B201" s="112"/>
      <c r="C201" s="112"/>
      <c r="D201" s="113"/>
      <c r="E201" s="114">
        <f>E200</f>
        <v>488.85000000000008</v>
      </c>
      <c r="F201" s="9"/>
    </row>
    <row r="202" spans="1:6" ht="13.5" thickBot="1" x14ac:dyDescent="0.25">
      <c r="A202" s="97" t="s">
        <v>122</v>
      </c>
      <c r="B202" s="98" t="s">
        <v>8</v>
      </c>
      <c r="C202" s="82">
        <v>1</v>
      </c>
      <c r="D202" s="99">
        <f>E201</f>
        <v>488.85000000000008</v>
      </c>
      <c r="E202" s="114">
        <f>C202*D202</f>
        <v>488.85000000000008</v>
      </c>
      <c r="F202" s="9"/>
    </row>
    <row r="203" spans="1:6" ht="13.5" thickBot="1" x14ac:dyDescent="0.25">
      <c r="A203" s="161"/>
      <c r="B203" s="161"/>
      <c r="C203" s="161"/>
      <c r="D203" s="116" t="s">
        <v>90</v>
      </c>
      <c r="E203" s="48">
        <v>1</v>
      </c>
      <c r="F203" s="19">
        <f>E202*E203</f>
        <v>488.85000000000008</v>
      </c>
    </row>
    <row r="204" spans="1:6" x14ac:dyDescent="0.2">
      <c r="A204" s="8"/>
      <c r="B204" s="8"/>
      <c r="C204" s="8"/>
      <c r="D204" s="9"/>
      <c r="E204" s="9"/>
      <c r="F204" s="9"/>
    </row>
    <row r="205" spans="1:6" ht="13.5" thickBot="1" x14ac:dyDescent="0.25">
      <c r="A205" s="101" t="s">
        <v>80</v>
      </c>
      <c r="B205" s="8"/>
      <c r="C205" s="8"/>
      <c r="D205" s="9"/>
      <c r="E205" s="9"/>
      <c r="F205" s="9"/>
    </row>
    <row r="206" spans="1:6" ht="13.5" thickBot="1" x14ac:dyDescent="0.25">
      <c r="A206" s="103" t="s">
        <v>54</v>
      </c>
      <c r="B206" s="104" t="s">
        <v>55</v>
      </c>
      <c r="C206" s="104" t="s">
        <v>35</v>
      </c>
      <c r="D206" s="60" t="s">
        <v>112</v>
      </c>
      <c r="E206" s="105" t="s">
        <v>56</v>
      </c>
      <c r="F206" s="61" t="s">
        <v>57</v>
      </c>
    </row>
    <row r="207" spans="1:6" x14ac:dyDescent="0.2">
      <c r="A207" s="14" t="s">
        <v>79</v>
      </c>
      <c r="B207" s="15" t="s">
        <v>8</v>
      </c>
      <c r="C207" s="162">
        <v>1</v>
      </c>
      <c r="D207" s="16">
        <f>D196</f>
        <v>90000</v>
      </c>
      <c r="E207" s="16">
        <f>C207*D207</f>
        <v>90000</v>
      </c>
      <c r="F207" s="18"/>
    </row>
    <row r="208" spans="1:6" x14ac:dyDescent="0.2">
      <c r="A208" s="14" t="s">
        <v>98</v>
      </c>
      <c r="B208" s="15" t="s">
        <v>1</v>
      </c>
      <c r="C208" s="82">
        <v>13.25</v>
      </c>
      <c r="D208" s="16"/>
      <c r="E208" s="16"/>
      <c r="F208" s="18"/>
    </row>
    <row r="209" spans="1:6" x14ac:dyDescent="0.2">
      <c r="A209" s="14" t="s">
        <v>97</v>
      </c>
      <c r="B209" s="15" t="s">
        <v>30</v>
      </c>
      <c r="C209" s="131">
        <f>IFERROR(IF(C198&lt;=C197,E196-(C199/(100*C197)*C198)*E196,E196-E199),0)</f>
        <v>90000</v>
      </c>
      <c r="D209" s="16"/>
      <c r="E209" s="16"/>
      <c r="F209" s="18"/>
    </row>
    <row r="210" spans="1:6" x14ac:dyDescent="0.2">
      <c r="A210" s="14" t="s">
        <v>82</v>
      </c>
      <c r="B210" s="15" t="s">
        <v>30</v>
      </c>
      <c r="C210" s="79">
        <f>IFERROR(IF(C198&gt;=C197,C209,((((C209)-(E196-E199))*(((C197-C198)+1)/(2*(C197-C198))))+(E196-E199))),0)</f>
        <v>63602.1</v>
      </c>
      <c r="D210" s="16"/>
      <c r="E210" s="16"/>
      <c r="F210" s="18"/>
    </row>
    <row r="211" spans="1:6" ht="13.5" thickBot="1" x14ac:dyDescent="0.25">
      <c r="A211" s="164" t="s">
        <v>141</v>
      </c>
      <c r="B211" s="165" t="s">
        <v>30</v>
      </c>
      <c r="C211" s="165"/>
      <c r="D211" s="167">
        <f>C208*C210/12/100</f>
        <v>702.27318749999995</v>
      </c>
      <c r="E211" s="166">
        <f>D211</f>
        <v>702.27318749999995</v>
      </c>
      <c r="F211" s="18"/>
    </row>
    <row r="212" spans="1:6" ht="13.5" thickTop="1" x14ac:dyDescent="0.2">
      <c r="A212" s="111" t="s">
        <v>121</v>
      </c>
      <c r="B212" s="112"/>
      <c r="C212" s="112"/>
      <c r="D212" s="113"/>
      <c r="E212" s="114">
        <f>D211</f>
        <v>702.27318749999995</v>
      </c>
      <c r="F212" s="18"/>
    </row>
    <row r="213" spans="1:6" ht="13.5" thickBot="1" x14ac:dyDescent="0.25">
      <c r="A213" s="97" t="s">
        <v>122</v>
      </c>
      <c r="B213" s="98" t="s">
        <v>8</v>
      </c>
      <c r="C213" s="163">
        <f>C202</f>
        <v>1</v>
      </c>
      <c r="D213" s="99">
        <f>E212</f>
        <v>702.27318749999995</v>
      </c>
      <c r="E213" s="114">
        <f>C213*D213</f>
        <v>702.27318749999995</v>
      </c>
      <c r="F213" s="18"/>
    </row>
    <row r="214" spans="1:6" ht="13.5" thickBot="1" x14ac:dyDescent="0.25">
      <c r="A214" s="8"/>
      <c r="B214" s="8"/>
      <c r="C214" s="17"/>
      <c r="D214" s="116" t="s">
        <v>90</v>
      </c>
      <c r="E214" s="48">
        <v>1</v>
      </c>
      <c r="F214" s="19">
        <f>E213*E214</f>
        <v>702.27318749999995</v>
      </c>
    </row>
    <row r="215" spans="1:6" x14ac:dyDescent="0.2">
      <c r="A215" s="8"/>
      <c r="B215" s="8"/>
      <c r="C215" s="8"/>
      <c r="D215" s="9"/>
      <c r="E215" s="9"/>
      <c r="F215" s="9"/>
    </row>
    <row r="216" spans="1:6" ht="13.5" thickBot="1" x14ac:dyDescent="0.25">
      <c r="A216" s="6" t="s">
        <v>145</v>
      </c>
      <c r="B216" s="8"/>
      <c r="C216" s="8"/>
      <c r="D216" s="9"/>
      <c r="E216" s="9"/>
      <c r="F216" s="9"/>
    </row>
    <row r="217" spans="1:6" ht="13.5" thickBot="1" x14ac:dyDescent="0.25">
      <c r="A217" s="58" t="s">
        <v>54</v>
      </c>
      <c r="B217" s="59" t="s">
        <v>55</v>
      </c>
      <c r="C217" s="59" t="s">
        <v>35</v>
      </c>
      <c r="D217" s="60" t="s">
        <v>112</v>
      </c>
      <c r="E217" s="60" t="s">
        <v>56</v>
      </c>
      <c r="F217" s="61" t="s">
        <v>57</v>
      </c>
    </row>
    <row r="218" spans="1:6" x14ac:dyDescent="0.2">
      <c r="A218" s="11" t="s">
        <v>10</v>
      </c>
      <c r="B218" s="12" t="s">
        <v>8</v>
      </c>
      <c r="C218" s="13">
        <f>C202</f>
        <v>1</v>
      </c>
      <c r="D218" s="13">
        <v>900</v>
      </c>
      <c r="E218" s="13">
        <f>C218*D218</f>
        <v>900</v>
      </c>
      <c r="F218" s="9"/>
    </row>
    <row r="219" spans="1:6" x14ac:dyDescent="0.2">
      <c r="A219" s="14" t="s">
        <v>89</v>
      </c>
      <c r="B219" s="15" t="s">
        <v>8</v>
      </c>
      <c r="C219" s="13">
        <f>C202</f>
        <v>1</v>
      </c>
      <c r="D219" s="84">
        <v>140</v>
      </c>
      <c r="E219" s="16">
        <f>C219*D219</f>
        <v>140</v>
      </c>
      <c r="F219" s="9"/>
    </row>
    <row r="220" spans="1:6" x14ac:dyDescent="0.2">
      <c r="A220" s="14" t="s">
        <v>11</v>
      </c>
      <c r="B220" s="15" t="s">
        <v>8</v>
      </c>
      <c r="C220" s="13">
        <f>C202</f>
        <v>1</v>
      </c>
      <c r="D220" s="84">
        <v>3000</v>
      </c>
      <c r="E220" s="16">
        <f>C220*D220</f>
        <v>3000</v>
      </c>
      <c r="F220" s="29"/>
    </row>
    <row r="221" spans="1:6" ht="13.5" thickBot="1" x14ac:dyDescent="0.25">
      <c r="A221" s="97" t="s">
        <v>12</v>
      </c>
      <c r="B221" s="98" t="s">
        <v>6</v>
      </c>
      <c r="C221" s="98">
        <v>12</v>
      </c>
      <c r="D221" s="99">
        <f>SUM(E218:E220)</f>
        <v>4040</v>
      </c>
      <c r="E221" s="99">
        <f>D221/C221</f>
        <v>336.66666666666669</v>
      </c>
      <c r="F221" s="9"/>
    </row>
    <row r="222" spans="1:6" ht="13.5" thickBot="1" x14ac:dyDescent="0.25">
      <c r="A222" s="8"/>
      <c r="B222" s="8"/>
      <c r="C222" s="8"/>
      <c r="D222" s="116" t="s">
        <v>90</v>
      </c>
      <c r="E222" s="48">
        <v>1</v>
      </c>
      <c r="F222" s="117">
        <f>E221*E222</f>
        <v>336.66666666666669</v>
      </c>
    </row>
    <row r="223" spans="1:6" x14ac:dyDescent="0.2">
      <c r="A223" s="8"/>
      <c r="B223" s="8"/>
      <c r="C223" s="8"/>
      <c r="D223" s="9"/>
      <c r="E223" s="9"/>
      <c r="F223" s="9"/>
    </row>
    <row r="224" spans="1:6" x14ac:dyDescent="0.2">
      <c r="A224" s="6" t="s">
        <v>146</v>
      </c>
      <c r="B224" s="30"/>
      <c r="C224" s="8"/>
      <c r="D224" s="9"/>
      <c r="E224" s="9"/>
      <c r="F224" s="9"/>
    </row>
    <row r="225" spans="1:6" x14ac:dyDescent="0.2">
      <c r="A225" s="8"/>
      <c r="B225" s="30"/>
      <c r="C225" s="8"/>
      <c r="D225" s="9"/>
      <c r="E225" s="9"/>
      <c r="F225" s="9"/>
    </row>
    <row r="226" spans="1:6" x14ac:dyDescent="0.2">
      <c r="A226" s="97" t="s">
        <v>85</v>
      </c>
      <c r="B226" s="108">
        <v>500</v>
      </c>
      <c r="C226" s="8"/>
      <c r="D226" s="9"/>
      <c r="E226" s="9"/>
      <c r="F226" s="9"/>
    </row>
    <row r="227" spans="1:6" ht="13.5" thickBot="1" x14ac:dyDescent="0.25">
      <c r="A227" s="8"/>
      <c r="B227" s="30"/>
      <c r="C227" s="8"/>
      <c r="D227" s="9"/>
      <c r="E227" s="9"/>
      <c r="F227" s="9"/>
    </row>
    <row r="228" spans="1:6" ht="13.5" thickBot="1" x14ac:dyDescent="0.25">
      <c r="A228" s="58" t="s">
        <v>54</v>
      </c>
      <c r="B228" s="59" t="s">
        <v>55</v>
      </c>
      <c r="C228" s="59" t="s">
        <v>120</v>
      </c>
      <c r="D228" s="60" t="s">
        <v>112</v>
      </c>
      <c r="E228" s="60" t="s">
        <v>56</v>
      </c>
      <c r="F228" s="61" t="s">
        <v>57</v>
      </c>
    </row>
    <row r="229" spans="1:6" x14ac:dyDescent="0.2">
      <c r="A229" s="11" t="s">
        <v>13</v>
      </c>
      <c r="B229" s="12" t="s">
        <v>14</v>
      </c>
      <c r="C229" s="91">
        <v>9</v>
      </c>
      <c r="D229" s="92">
        <v>7</v>
      </c>
      <c r="E229" s="13"/>
      <c r="F229" s="9"/>
    </row>
    <row r="230" spans="1:6" x14ac:dyDescent="0.2">
      <c r="A230" s="14" t="s">
        <v>15</v>
      </c>
      <c r="B230" s="15" t="s">
        <v>16</v>
      </c>
      <c r="C230" s="88">
        <f>B226</f>
        <v>500</v>
      </c>
      <c r="D230" s="160">
        <f>IFERROR(+D229/C229,"-")</f>
        <v>0.77777777777777779</v>
      </c>
      <c r="E230" s="16">
        <f>IFERROR(C230*D230,"-")</f>
        <v>388.88888888888891</v>
      </c>
      <c r="F230" s="9"/>
    </row>
    <row r="231" spans="1:6" x14ac:dyDescent="0.2">
      <c r="A231" s="14" t="s">
        <v>113</v>
      </c>
      <c r="B231" s="15" t="s">
        <v>17</v>
      </c>
      <c r="C231" s="94">
        <v>0.5</v>
      </c>
      <c r="D231" s="84">
        <v>19.77</v>
      </c>
      <c r="E231" s="16"/>
      <c r="F231" s="9"/>
    </row>
    <row r="232" spans="1:6" x14ac:dyDescent="0.2">
      <c r="A232" s="14" t="s">
        <v>18</v>
      </c>
      <c r="B232" s="15" t="s">
        <v>16</v>
      </c>
      <c r="C232" s="88">
        <f>C230</f>
        <v>500</v>
      </c>
      <c r="D232" s="157">
        <f>+C231*D231/1000</f>
        <v>9.8849999999999997E-3</v>
      </c>
      <c r="E232" s="16">
        <f>C232*D232</f>
        <v>4.9424999999999999</v>
      </c>
      <c r="F232" s="9"/>
    </row>
    <row r="233" spans="1:6" x14ac:dyDescent="0.2">
      <c r="A233" s="14" t="s">
        <v>114</v>
      </c>
      <c r="B233" s="15" t="s">
        <v>17</v>
      </c>
      <c r="C233" s="94">
        <v>0.15</v>
      </c>
      <c r="D233" s="84">
        <v>35</v>
      </c>
      <c r="E233" s="16"/>
      <c r="F233" s="9"/>
    </row>
    <row r="234" spans="1:6" x14ac:dyDescent="0.2">
      <c r="A234" s="14" t="s">
        <v>19</v>
      </c>
      <c r="B234" s="15" t="s">
        <v>16</v>
      </c>
      <c r="C234" s="88">
        <f>C230</f>
        <v>500</v>
      </c>
      <c r="D234" s="157">
        <f>+C233*D233/1000</f>
        <v>5.2500000000000003E-3</v>
      </c>
      <c r="E234" s="16">
        <f>C234*D234</f>
        <v>2.625</v>
      </c>
      <c r="F234" s="9"/>
    </row>
    <row r="235" spans="1:6" x14ac:dyDescent="0.2">
      <c r="A235" s="14" t="s">
        <v>115</v>
      </c>
      <c r="B235" s="15" t="s">
        <v>17</v>
      </c>
      <c r="C235" s="94">
        <v>0.15</v>
      </c>
      <c r="D235" s="84">
        <v>26</v>
      </c>
      <c r="E235" s="16"/>
      <c r="F235" s="9"/>
    </row>
    <row r="236" spans="1:6" x14ac:dyDescent="0.2">
      <c r="A236" s="14" t="s">
        <v>20</v>
      </c>
      <c r="B236" s="15" t="s">
        <v>16</v>
      </c>
      <c r="C236" s="88">
        <f>C230</f>
        <v>500</v>
      </c>
      <c r="D236" s="157">
        <f>+C235*D235/1000</f>
        <v>3.8999999999999998E-3</v>
      </c>
      <c r="E236" s="16">
        <f>C236*D236</f>
        <v>1.95</v>
      </c>
      <c r="F236" s="9"/>
    </row>
    <row r="237" spans="1:6" x14ac:dyDescent="0.2">
      <c r="A237" s="14" t="s">
        <v>21</v>
      </c>
      <c r="B237" s="15" t="s">
        <v>22</v>
      </c>
      <c r="C237" s="94">
        <v>0.3</v>
      </c>
      <c r="D237" s="84">
        <v>23</v>
      </c>
      <c r="E237" s="16"/>
      <c r="F237" s="9"/>
    </row>
    <row r="238" spans="1:6" x14ac:dyDescent="0.2">
      <c r="A238" s="14" t="s">
        <v>23</v>
      </c>
      <c r="B238" s="15" t="s">
        <v>16</v>
      </c>
      <c r="C238" s="88">
        <f>C230</f>
        <v>500</v>
      </c>
      <c r="D238" s="157">
        <f>+C237*D237/1000</f>
        <v>6.8999999999999999E-3</v>
      </c>
      <c r="E238" s="16">
        <f>C238*D238</f>
        <v>3.4499999999999997</v>
      </c>
      <c r="F238" s="9"/>
    </row>
    <row r="239" spans="1:6" ht="13.5" thickBot="1" x14ac:dyDescent="0.25">
      <c r="A239" s="97" t="s">
        <v>119</v>
      </c>
      <c r="B239" s="98" t="s">
        <v>86</v>
      </c>
      <c r="C239" s="158"/>
      <c r="D239" s="159">
        <f>IFERROR(D230+D232+D234+D236+D238,0)</f>
        <v>0.80371277777777783</v>
      </c>
      <c r="E239" s="16"/>
      <c r="F239" s="9"/>
    </row>
    <row r="240" spans="1:6" ht="13.5" thickBot="1" x14ac:dyDescent="0.25">
      <c r="A240" s="8"/>
      <c r="B240" s="8"/>
      <c r="C240" s="8"/>
      <c r="D240" s="9"/>
      <c r="E240" s="9"/>
      <c r="F240" s="19">
        <f>SUM(E229:E238)</f>
        <v>401.85638888888889</v>
      </c>
    </row>
    <row r="241" spans="1:6" x14ac:dyDescent="0.2">
      <c r="A241" s="8"/>
      <c r="B241" s="8"/>
      <c r="C241" s="8"/>
      <c r="D241" s="9"/>
      <c r="E241" s="9"/>
      <c r="F241" s="9"/>
    </row>
    <row r="242" spans="1:6" ht="13.5" thickBot="1" x14ac:dyDescent="0.25">
      <c r="A242" s="6" t="s">
        <v>147</v>
      </c>
      <c r="B242" s="8"/>
      <c r="C242" s="8"/>
      <c r="D242" s="9"/>
      <c r="E242" s="9"/>
      <c r="F242" s="9"/>
    </row>
    <row r="243" spans="1:6" ht="13.5" thickBot="1" x14ac:dyDescent="0.25">
      <c r="A243" s="58" t="s">
        <v>54</v>
      </c>
      <c r="B243" s="59" t="s">
        <v>55</v>
      </c>
      <c r="C243" s="59" t="s">
        <v>35</v>
      </c>
      <c r="D243" s="60" t="s">
        <v>112</v>
      </c>
      <c r="E243" s="60" t="s">
        <v>56</v>
      </c>
      <c r="F243" s="61" t="s">
        <v>57</v>
      </c>
    </row>
    <row r="244" spans="1:6" ht="13.5" thickBot="1" x14ac:dyDescent="0.25">
      <c r="A244" s="168" t="s">
        <v>188</v>
      </c>
      <c r="B244" s="12" t="s">
        <v>86</v>
      </c>
      <c r="C244" s="88">
        <f>C230</f>
        <v>500</v>
      </c>
      <c r="D244" s="170">
        <v>0.37</v>
      </c>
      <c r="E244" s="13">
        <f>C244*D244</f>
        <v>185</v>
      </c>
      <c r="F244" s="9"/>
    </row>
    <row r="245" spans="1:6" ht="13.5" thickBot="1" x14ac:dyDescent="0.25">
      <c r="A245" s="8"/>
      <c r="B245" s="8"/>
      <c r="C245" s="8"/>
      <c r="D245" s="9"/>
      <c r="E245" s="9"/>
      <c r="F245" s="19">
        <f>E244</f>
        <v>185</v>
      </c>
    </row>
    <row r="246" spans="1:6" x14ac:dyDescent="0.2">
      <c r="A246" s="8"/>
      <c r="B246" s="8"/>
      <c r="C246" s="8"/>
      <c r="D246" s="9"/>
      <c r="E246" s="9"/>
      <c r="F246" s="9"/>
    </row>
    <row r="247" spans="1:6" ht="13.5" thickBot="1" x14ac:dyDescent="0.25">
      <c r="A247" s="6" t="s">
        <v>148</v>
      </c>
      <c r="B247" s="8"/>
      <c r="C247" s="8"/>
      <c r="D247" s="9"/>
      <c r="E247" s="9"/>
      <c r="F247" s="9"/>
    </row>
    <row r="248" spans="1:6" ht="13.5" thickBot="1" x14ac:dyDescent="0.25">
      <c r="A248" s="58" t="s">
        <v>54</v>
      </c>
      <c r="B248" s="59" t="s">
        <v>55</v>
      </c>
      <c r="C248" s="59" t="s">
        <v>35</v>
      </c>
      <c r="D248" s="60" t="s">
        <v>112</v>
      </c>
      <c r="E248" s="60" t="s">
        <v>56</v>
      </c>
      <c r="F248" s="61" t="s">
        <v>57</v>
      </c>
    </row>
    <row r="249" spans="1:6" x14ac:dyDescent="0.2">
      <c r="A249" s="168" t="s">
        <v>149</v>
      </c>
      <c r="B249" s="12" t="s">
        <v>8</v>
      </c>
      <c r="C249" s="90">
        <v>4</v>
      </c>
      <c r="D249" s="83">
        <v>750</v>
      </c>
      <c r="E249" s="13">
        <f>C249*D249</f>
        <v>3000</v>
      </c>
      <c r="F249" s="9"/>
    </row>
    <row r="250" spans="1:6" x14ac:dyDescent="0.2">
      <c r="A250" s="11" t="s">
        <v>87</v>
      </c>
      <c r="B250" s="12" t="s">
        <v>8</v>
      </c>
      <c r="C250" s="90">
        <v>3</v>
      </c>
      <c r="D250" s="100"/>
      <c r="E250" s="13"/>
      <c r="F250" s="9"/>
    </row>
    <row r="251" spans="1:6" x14ac:dyDescent="0.2">
      <c r="A251" s="11" t="s">
        <v>60</v>
      </c>
      <c r="B251" s="12" t="s">
        <v>8</v>
      </c>
      <c r="C251" s="13">
        <f>C249*C250</f>
        <v>12</v>
      </c>
      <c r="D251" s="83">
        <v>500</v>
      </c>
      <c r="E251" s="13">
        <f>C251*D251</f>
        <v>6000</v>
      </c>
      <c r="F251" s="9"/>
    </row>
    <row r="252" spans="1:6" x14ac:dyDescent="0.2">
      <c r="A252" s="176" t="s">
        <v>139</v>
      </c>
      <c r="B252" s="15" t="s">
        <v>24</v>
      </c>
      <c r="C252" s="93">
        <v>50000</v>
      </c>
      <c r="D252" s="16">
        <f>E249+E251</f>
        <v>9000</v>
      </c>
      <c r="E252" s="16">
        <f>IFERROR(D252/C252,"-")</f>
        <v>0.18</v>
      </c>
      <c r="F252" s="9"/>
    </row>
    <row r="253" spans="1:6" ht="13.5" thickBot="1" x14ac:dyDescent="0.25">
      <c r="A253" s="14" t="s">
        <v>45</v>
      </c>
      <c r="B253" s="15" t="s">
        <v>16</v>
      </c>
      <c r="C253" s="88">
        <f>B226</f>
        <v>500</v>
      </c>
      <c r="D253" s="16">
        <f>E252</f>
        <v>0.18</v>
      </c>
      <c r="E253" s="16">
        <f>IFERROR(C253*D253,0)</f>
        <v>90</v>
      </c>
      <c r="F253" s="9"/>
    </row>
    <row r="254" spans="1:6" ht="13.5" thickBot="1" x14ac:dyDescent="0.25">
      <c r="A254" s="8"/>
      <c r="B254" s="8"/>
      <c r="C254" s="8"/>
      <c r="D254" s="9"/>
      <c r="E254" s="9"/>
      <c r="F254" s="19">
        <f>E253</f>
        <v>90</v>
      </c>
    </row>
    <row r="255" spans="1:6" ht="13.5" thickBot="1" x14ac:dyDescent="0.25">
      <c r="A255" s="8"/>
      <c r="B255" s="8"/>
      <c r="C255" s="8"/>
      <c r="D255" s="9"/>
      <c r="E255" s="9"/>
      <c r="F255" s="19"/>
    </row>
    <row r="256" spans="1:6" ht="13.5" thickBot="1" x14ac:dyDescent="0.25">
      <c r="A256" s="22" t="s">
        <v>103</v>
      </c>
      <c r="B256" s="23"/>
      <c r="C256" s="23"/>
      <c r="D256" s="24"/>
      <c r="E256" s="25"/>
      <c r="F256" s="19">
        <f>+SUM(F122:F254)</f>
        <v>2204.6462430555557</v>
      </c>
    </row>
    <row r="257" spans="1:10" x14ac:dyDescent="0.2">
      <c r="A257" s="8"/>
      <c r="B257" s="8"/>
      <c r="C257" s="8"/>
      <c r="D257" s="9"/>
      <c r="E257" s="9"/>
      <c r="F257" s="9"/>
    </row>
    <row r="258" spans="1:10" x14ac:dyDescent="0.2">
      <c r="A258" s="32" t="s">
        <v>63</v>
      </c>
      <c r="B258" s="32"/>
      <c r="C258" s="32"/>
      <c r="D258" s="33"/>
      <c r="E258" s="33"/>
      <c r="F258" s="31"/>
    </row>
    <row r="259" spans="1:10" ht="13.5" thickBot="1" x14ac:dyDescent="0.25">
      <c r="A259" s="8"/>
      <c r="B259" s="8"/>
      <c r="C259" s="8"/>
      <c r="D259" s="9"/>
      <c r="E259" s="9"/>
      <c r="F259" s="9"/>
    </row>
    <row r="260" spans="1:10" ht="13.5" thickBot="1" x14ac:dyDescent="0.25">
      <c r="A260" s="58" t="s">
        <v>54</v>
      </c>
      <c r="B260" s="59" t="s">
        <v>55</v>
      </c>
      <c r="C260" s="59" t="s">
        <v>35</v>
      </c>
      <c r="D260" s="60" t="s">
        <v>112</v>
      </c>
      <c r="E260" s="60" t="s">
        <v>56</v>
      </c>
      <c r="F260" s="61" t="s">
        <v>57</v>
      </c>
    </row>
    <row r="261" spans="1:10" x14ac:dyDescent="0.2">
      <c r="A261" s="14" t="s">
        <v>61</v>
      </c>
      <c r="B261" s="15" t="s">
        <v>8</v>
      </c>
      <c r="C261" s="95">
        <v>1</v>
      </c>
      <c r="D261" s="83">
        <v>50</v>
      </c>
      <c r="E261" s="16">
        <f>D261*C261/12</f>
        <v>4.166666666666667</v>
      </c>
      <c r="F261" s="53"/>
    </row>
    <row r="262" spans="1:10" x14ac:dyDescent="0.2">
      <c r="A262" s="14" t="s">
        <v>25</v>
      </c>
      <c r="B262" s="15" t="s">
        <v>8</v>
      </c>
      <c r="C262" s="95">
        <v>1</v>
      </c>
      <c r="D262" s="83">
        <v>20</v>
      </c>
      <c r="E262" s="16">
        <f>D262*C262/12</f>
        <v>1.6666666666666667</v>
      </c>
      <c r="F262" s="53"/>
    </row>
    <row r="263" spans="1:10" x14ac:dyDescent="0.2">
      <c r="A263" s="176" t="s">
        <v>155</v>
      </c>
      <c r="B263" s="15" t="s">
        <v>8</v>
      </c>
      <c r="C263" s="95">
        <v>1</v>
      </c>
      <c r="D263" s="83">
        <v>32.5</v>
      </c>
      <c r="E263" s="16">
        <f>C263*D263/12</f>
        <v>2.7083333333333335</v>
      </c>
      <c r="F263" s="53"/>
    </row>
    <row r="264" spans="1:10" x14ac:dyDescent="0.2">
      <c r="A264" s="176" t="s">
        <v>157</v>
      </c>
      <c r="B264" s="177" t="s">
        <v>8</v>
      </c>
      <c r="C264" s="95">
        <v>1</v>
      </c>
      <c r="D264" s="83">
        <v>34.72</v>
      </c>
      <c r="E264" s="16">
        <f>C264*D264/12</f>
        <v>2.8933333333333331</v>
      </c>
      <c r="F264" s="53"/>
    </row>
    <row r="265" spans="1:10" x14ac:dyDescent="0.2">
      <c r="A265" s="176" t="s">
        <v>167</v>
      </c>
      <c r="B265" s="177" t="s">
        <v>8</v>
      </c>
      <c r="C265" s="95">
        <v>1</v>
      </c>
      <c r="D265" s="83">
        <v>22.25</v>
      </c>
      <c r="E265" s="16">
        <f>D265*C265/12</f>
        <v>1.8541666666666667</v>
      </c>
      <c r="F265" s="53"/>
    </row>
    <row r="266" spans="1:10" x14ac:dyDescent="0.2">
      <c r="A266" s="176" t="s">
        <v>168</v>
      </c>
      <c r="B266" s="177" t="s">
        <v>8</v>
      </c>
      <c r="C266" s="95">
        <v>1</v>
      </c>
      <c r="D266" s="83">
        <v>25</v>
      </c>
      <c r="E266" s="16">
        <f>D266*C266/12</f>
        <v>2.0833333333333335</v>
      </c>
      <c r="F266" s="53"/>
    </row>
    <row r="267" spans="1:10" x14ac:dyDescent="0.2">
      <c r="A267" s="176" t="s">
        <v>150</v>
      </c>
      <c r="B267" s="177" t="s">
        <v>8</v>
      </c>
      <c r="C267" s="95">
        <v>1</v>
      </c>
      <c r="D267" s="83">
        <v>2349</v>
      </c>
      <c r="E267" s="16">
        <f>D267*C267/24</f>
        <v>97.875</v>
      </c>
      <c r="F267" s="53"/>
    </row>
    <row r="268" spans="1:10" x14ac:dyDescent="0.2">
      <c r="A268" s="176" t="s">
        <v>160</v>
      </c>
      <c r="B268" s="177" t="s">
        <v>8</v>
      </c>
      <c r="C268" s="95">
        <v>1</v>
      </c>
      <c r="D268" s="83">
        <v>60</v>
      </c>
      <c r="E268" s="16">
        <f>C268*D268/12</f>
        <v>5</v>
      </c>
      <c r="F268" s="53"/>
    </row>
    <row r="269" spans="1:10" x14ac:dyDescent="0.2">
      <c r="A269" s="176" t="s">
        <v>169</v>
      </c>
      <c r="B269" s="177" t="s">
        <v>170</v>
      </c>
      <c r="C269" s="95">
        <v>1</v>
      </c>
      <c r="D269" s="83">
        <v>268.75</v>
      </c>
      <c r="E269" s="16">
        <f>C269*D269/4</f>
        <v>67.1875</v>
      </c>
      <c r="F269" s="53"/>
    </row>
    <row r="270" spans="1:10" x14ac:dyDescent="0.2">
      <c r="A270" s="176" t="s">
        <v>186</v>
      </c>
      <c r="B270" s="177" t="s">
        <v>153</v>
      </c>
      <c r="C270" s="95">
        <v>90</v>
      </c>
      <c r="D270" s="83">
        <v>6.5</v>
      </c>
      <c r="E270" s="16">
        <f>C270*D270</f>
        <v>585</v>
      </c>
      <c r="F270" s="53"/>
    </row>
    <row r="271" spans="1:10" x14ac:dyDescent="0.2">
      <c r="A271" s="176" t="s">
        <v>187</v>
      </c>
      <c r="B271" s="177" t="s">
        <v>8</v>
      </c>
      <c r="C271" s="95">
        <v>1</v>
      </c>
      <c r="D271" s="83">
        <v>1150</v>
      </c>
      <c r="E271" s="16">
        <f>C271*D271/24</f>
        <v>47.916666666666664</v>
      </c>
      <c r="F271" s="53"/>
    </row>
    <row r="272" spans="1:10" x14ac:dyDescent="0.2">
      <c r="A272" s="176" t="s">
        <v>178</v>
      </c>
      <c r="B272" s="177" t="s">
        <v>8</v>
      </c>
      <c r="C272" s="95">
        <v>1</v>
      </c>
      <c r="D272" s="83">
        <v>72.5</v>
      </c>
      <c r="E272" s="16">
        <f>C272*D272/12</f>
        <v>6.041666666666667</v>
      </c>
      <c r="F272" s="53"/>
      <c r="J272" t="s">
        <v>189</v>
      </c>
    </row>
    <row r="273" spans="1:6" x14ac:dyDescent="0.2">
      <c r="A273" s="176" t="s">
        <v>156</v>
      </c>
      <c r="B273" s="177" t="s">
        <v>8</v>
      </c>
      <c r="C273" s="95">
        <v>1</v>
      </c>
      <c r="D273" s="83">
        <v>165</v>
      </c>
      <c r="E273" s="16">
        <f>C273*D273/12</f>
        <v>13.75</v>
      </c>
      <c r="F273" s="53"/>
    </row>
    <row r="274" spans="1:6" x14ac:dyDescent="0.2">
      <c r="A274" s="176" t="s">
        <v>151</v>
      </c>
      <c r="B274" s="177" t="s">
        <v>152</v>
      </c>
      <c r="C274" s="95">
        <v>15</v>
      </c>
      <c r="D274" s="83">
        <v>1.7</v>
      </c>
      <c r="E274" s="16">
        <f>C274*D274</f>
        <v>25.5</v>
      </c>
      <c r="F274" s="53"/>
    </row>
    <row r="275" spans="1:6" x14ac:dyDescent="0.2">
      <c r="A275" s="176" t="s">
        <v>158</v>
      </c>
      <c r="B275" s="177" t="s">
        <v>8</v>
      </c>
      <c r="C275" s="95">
        <v>1</v>
      </c>
      <c r="D275" s="83">
        <v>5.37</v>
      </c>
      <c r="E275" s="16">
        <f>C275*D275</f>
        <v>5.37</v>
      </c>
      <c r="F275" s="53"/>
    </row>
    <row r="276" spans="1:6" x14ac:dyDescent="0.2">
      <c r="A276" s="176" t="s">
        <v>171</v>
      </c>
      <c r="B276" s="177" t="s">
        <v>8</v>
      </c>
      <c r="C276" s="95">
        <v>2</v>
      </c>
      <c r="D276" s="83">
        <v>31.25</v>
      </c>
      <c r="E276" s="16">
        <f>C276*D276/12</f>
        <v>5.208333333333333</v>
      </c>
      <c r="F276" s="53"/>
    </row>
    <row r="277" spans="1:6" x14ac:dyDescent="0.2">
      <c r="A277" s="176" t="s">
        <v>172</v>
      </c>
      <c r="B277" s="177" t="s">
        <v>8</v>
      </c>
      <c r="C277" s="95">
        <v>2</v>
      </c>
      <c r="D277" s="83">
        <v>13</v>
      </c>
      <c r="E277" s="16">
        <f>C277*D277/12</f>
        <v>2.1666666666666665</v>
      </c>
      <c r="F277" s="53"/>
    </row>
    <row r="278" spans="1:6" x14ac:dyDescent="0.2">
      <c r="A278" s="176" t="s">
        <v>173</v>
      </c>
      <c r="B278" s="177" t="s">
        <v>8</v>
      </c>
      <c r="C278" s="95">
        <v>1</v>
      </c>
      <c r="D278" s="83">
        <v>140</v>
      </c>
      <c r="E278" s="16">
        <f>C278*D278/12</f>
        <v>11.666666666666666</v>
      </c>
      <c r="F278" s="53"/>
    </row>
    <row r="279" spans="1:6" x14ac:dyDescent="0.2">
      <c r="A279" s="176" t="s">
        <v>154</v>
      </c>
      <c r="B279" s="177" t="s">
        <v>8</v>
      </c>
      <c r="C279" s="95">
        <v>1</v>
      </c>
      <c r="D279" s="83">
        <v>320</v>
      </c>
      <c r="E279" s="16">
        <f>C279*D279/18</f>
        <v>17.777777777777779</v>
      </c>
      <c r="F279" s="53"/>
    </row>
    <row r="280" spans="1:6" x14ac:dyDescent="0.2">
      <c r="A280" s="176" t="s">
        <v>159</v>
      </c>
      <c r="B280" s="177" t="s">
        <v>8</v>
      </c>
      <c r="C280" s="95">
        <v>10</v>
      </c>
      <c r="D280" s="83">
        <v>0.7</v>
      </c>
      <c r="E280" s="16">
        <f>C280*D280</f>
        <v>7</v>
      </c>
      <c r="F280" s="53"/>
    </row>
    <row r="281" spans="1:6" x14ac:dyDescent="0.2">
      <c r="A281" s="14" t="s">
        <v>47</v>
      </c>
      <c r="B281" s="15" t="s">
        <v>48</v>
      </c>
      <c r="C281" s="95">
        <v>0.16666666666666666</v>
      </c>
      <c r="D281" s="83">
        <v>5</v>
      </c>
      <c r="E281" s="16">
        <f>C281*D281</f>
        <v>0.83333333333333326</v>
      </c>
      <c r="F281" s="53"/>
    </row>
    <row r="282" spans="1:6" ht="13.5" thickBot="1" x14ac:dyDescent="0.25">
      <c r="A282" s="14" t="s">
        <v>50</v>
      </c>
      <c r="B282" s="15" t="s">
        <v>48</v>
      </c>
      <c r="C282" s="95">
        <v>8.3333333333333329E-2</v>
      </c>
      <c r="D282" s="83">
        <v>50</v>
      </c>
      <c r="E282" s="16">
        <f>C282*D282</f>
        <v>4.1666666666666661</v>
      </c>
      <c r="F282" s="53"/>
    </row>
    <row r="283" spans="1:6" ht="13.5" thickBot="1" x14ac:dyDescent="0.25">
      <c r="A283" s="32"/>
      <c r="B283" s="32"/>
      <c r="C283" s="32"/>
      <c r="D283" s="32"/>
      <c r="E283" s="33"/>
      <c r="F283" s="19">
        <f>SUM(E261:E282)</f>
        <v>917.83277777777766</v>
      </c>
    </row>
    <row r="284" spans="1:6" ht="13.5" thickBot="1" x14ac:dyDescent="0.25">
      <c r="A284" s="8"/>
      <c r="B284" s="8"/>
      <c r="C284" s="8"/>
      <c r="D284" s="9"/>
      <c r="E284" s="9"/>
      <c r="F284" s="9"/>
    </row>
    <row r="285" spans="1:6" ht="13.5" thickBot="1" x14ac:dyDescent="0.25">
      <c r="A285" s="22" t="s">
        <v>104</v>
      </c>
      <c r="B285" s="23"/>
      <c r="C285" s="23"/>
      <c r="D285" s="24"/>
      <c r="E285" s="25"/>
      <c r="F285" s="19">
        <f>+F283</f>
        <v>917.83277777777766</v>
      </c>
    </row>
    <row r="286" spans="1:6" x14ac:dyDescent="0.2">
      <c r="A286" s="8"/>
      <c r="B286" s="8"/>
      <c r="C286" s="8"/>
      <c r="D286" s="9"/>
      <c r="E286" s="9"/>
      <c r="F286" s="9"/>
    </row>
    <row r="287" spans="1:6" x14ac:dyDescent="0.2">
      <c r="A287" s="32" t="s">
        <v>64</v>
      </c>
      <c r="B287" s="32"/>
      <c r="C287" s="32"/>
      <c r="D287" s="33"/>
      <c r="E287" s="33"/>
      <c r="F287" s="31"/>
    </row>
    <row r="288" spans="1:6" ht="13.5" thickBot="1" x14ac:dyDescent="0.25">
      <c r="A288" s="8"/>
      <c r="B288" s="8"/>
      <c r="C288" s="8"/>
      <c r="D288" s="9"/>
      <c r="E288" s="9"/>
      <c r="F288" s="9"/>
    </row>
    <row r="289" spans="1:6" ht="13.5" thickBot="1" x14ac:dyDescent="0.25">
      <c r="A289" s="58" t="s">
        <v>54</v>
      </c>
      <c r="B289" s="59" t="s">
        <v>55</v>
      </c>
      <c r="C289" s="59" t="s">
        <v>35</v>
      </c>
      <c r="D289" s="60" t="s">
        <v>112</v>
      </c>
      <c r="E289" s="60" t="s">
        <v>56</v>
      </c>
      <c r="F289" s="61" t="s">
        <v>57</v>
      </c>
    </row>
    <row r="290" spans="1:6" x14ac:dyDescent="0.2">
      <c r="A290" s="14" t="s">
        <v>101</v>
      </c>
      <c r="B290" s="51" t="s">
        <v>48</v>
      </c>
      <c r="C290" s="66"/>
      <c r="D290" s="84"/>
      <c r="E290" s="16"/>
      <c r="F290" s="53"/>
    </row>
    <row r="291" spans="1:6" x14ac:dyDescent="0.2">
      <c r="A291" s="14" t="s">
        <v>51</v>
      </c>
      <c r="B291" s="51" t="s">
        <v>6</v>
      </c>
      <c r="C291" s="136"/>
      <c r="D291" s="76"/>
      <c r="E291" s="76"/>
      <c r="F291" s="53"/>
    </row>
    <row r="292" spans="1:6" x14ac:dyDescent="0.2">
      <c r="A292" s="14" t="s">
        <v>102</v>
      </c>
      <c r="B292" s="15" t="s">
        <v>8</v>
      </c>
      <c r="C292" s="66"/>
      <c r="D292" s="84"/>
      <c r="E292" s="16"/>
      <c r="F292" s="53"/>
    </row>
    <row r="293" spans="1:6" ht="13.5" thickBot="1" x14ac:dyDescent="0.25">
      <c r="A293" s="14" t="s">
        <v>32</v>
      </c>
      <c r="B293" s="51" t="s">
        <v>6</v>
      </c>
      <c r="C293" s="136"/>
      <c r="D293" s="76"/>
      <c r="E293" s="76"/>
      <c r="F293" s="53"/>
    </row>
    <row r="294" spans="1:6" ht="13.5" thickBot="1" x14ac:dyDescent="0.25">
      <c r="A294" s="77"/>
      <c r="B294" s="77"/>
      <c r="C294" s="77"/>
      <c r="D294" s="116" t="s">
        <v>90</v>
      </c>
      <c r="E294" s="48"/>
      <c r="F294" s="78"/>
    </row>
    <row r="295" spans="1:6" ht="13.5" thickBot="1" x14ac:dyDescent="0.25">
      <c r="A295" s="8"/>
      <c r="B295" s="8"/>
      <c r="C295" s="8"/>
      <c r="D295" s="9"/>
      <c r="E295" s="9"/>
      <c r="F295" s="9"/>
    </row>
    <row r="296" spans="1:6" ht="13.5" thickBot="1" x14ac:dyDescent="0.25">
      <c r="A296" s="22" t="s">
        <v>100</v>
      </c>
      <c r="B296" s="23"/>
      <c r="C296" s="23"/>
      <c r="D296" s="24"/>
      <c r="E296" s="25"/>
      <c r="F296" s="19"/>
    </row>
    <row r="297" spans="1:6" ht="13.5" thickBot="1" x14ac:dyDescent="0.25">
      <c r="A297" s="8"/>
      <c r="B297" s="8"/>
      <c r="C297" s="8"/>
      <c r="D297" s="9"/>
      <c r="E297" s="9"/>
      <c r="F297" s="9"/>
    </row>
    <row r="298" spans="1:6" ht="13.5" thickBot="1" x14ac:dyDescent="0.25">
      <c r="A298" s="22" t="s">
        <v>105</v>
      </c>
      <c r="B298" s="26"/>
      <c r="C298" s="26"/>
      <c r="D298" s="27"/>
      <c r="E298" s="28"/>
      <c r="F298" s="20">
        <f>+F88+F114+F256+F285+F296</f>
        <v>13340.316614402564</v>
      </c>
    </row>
    <row r="299" spans="1:6" x14ac:dyDescent="0.2">
      <c r="A299" s="8"/>
      <c r="B299" s="8"/>
      <c r="C299" s="8"/>
      <c r="D299" s="9"/>
      <c r="E299" s="9"/>
      <c r="F299" s="9"/>
    </row>
    <row r="300" spans="1:6" x14ac:dyDescent="0.2">
      <c r="A300" s="10" t="s">
        <v>65</v>
      </c>
      <c r="B300" s="8"/>
      <c r="C300" s="8"/>
      <c r="D300" s="9"/>
      <c r="E300" s="9"/>
      <c r="F300" s="9"/>
    </row>
    <row r="301" spans="1:6" ht="13.5" thickBot="1" x14ac:dyDescent="0.25">
      <c r="A301" s="8"/>
      <c r="B301" s="8"/>
      <c r="C301" s="8"/>
      <c r="D301" s="9"/>
      <c r="E301" s="9"/>
      <c r="F301" s="9"/>
    </row>
    <row r="302" spans="1:6" ht="13.5" thickBot="1" x14ac:dyDescent="0.25">
      <c r="A302" s="58" t="s">
        <v>54</v>
      </c>
      <c r="B302" s="59" t="s">
        <v>55</v>
      </c>
      <c r="C302" s="59" t="s">
        <v>35</v>
      </c>
      <c r="D302" s="60" t="s">
        <v>112</v>
      </c>
      <c r="E302" s="60" t="s">
        <v>56</v>
      </c>
      <c r="F302" s="61" t="s">
        <v>57</v>
      </c>
    </row>
    <row r="303" spans="1:6" ht="13.5" thickBot="1" x14ac:dyDescent="0.25">
      <c r="A303" s="11" t="s">
        <v>31</v>
      </c>
      <c r="B303" s="12" t="s">
        <v>1</v>
      </c>
      <c r="C303" s="127">
        <v>21.79</v>
      </c>
      <c r="D303" s="13">
        <f>+F298</f>
        <v>13340.316614402564</v>
      </c>
      <c r="E303" s="13">
        <f>C303*D303/100</f>
        <v>2906.8549902783184</v>
      </c>
      <c r="F303" s="9"/>
    </row>
    <row r="304" spans="1:6" ht="13.5" thickBot="1" x14ac:dyDescent="0.25">
      <c r="A304" s="8"/>
      <c r="B304" s="8"/>
      <c r="C304" s="8"/>
      <c r="D304" s="9"/>
      <c r="E304" s="9"/>
      <c r="F304" s="19">
        <f>+E303</f>
        <v>2906.8549902783184</v>
      </c>
    </row>
    <row r="305" spans="1:6" ht="13.5" thickBot="1" x14ac:dyDescent="0.25">
      <c r="A305" s="8"/>
      <c r="B305" s="8"/>
      <c r="C305" s="8"/>
      <c r="D305" s="9"/>
      <c r="E305" s="9"/>
      <c r="F305" s="9"/>
    </row>
    <row r="306" spans="1:6" ht="13.5" thickBot="1" x14ac:dyDescent="0.25">
      <c r="A306" s="22" t="s">
        <v>116</v>
      </c>
      <c r="B306" s="26"/>
      <c r="C306" s="26"/>
      <c r="D306" s="27"/>
      <c r="E306" s="28"/>
      <c r="F306" s="20">
        <f>F304</f>
        <v>2906.8549902783184</v>
      </c>
    </row>
    <row r="307" spans="1:6" x14ac:dyDescent="0.2">
      <c r="A307" s="32"/>
      <c r="B307" s="32"/>
      <c r="C307" s="32"/>
      <c r="D307" s="33"/>
      <c r="E307" s="33"/>
      <c r="F307" s="31"/>
    </row>
    <row r="308" spans="1:6" ht="13.5" thickBot="1" x14ac:dyDescent="0.25">
      <c r="A308" s="8"/>
      <c r="B308" s="8"/>
      <c r="C308" s="8"/>
      <c r="D308" s="9"/>
      <c r="E308" s="9"/>
      <c r="F308" s="9"/>
    </row>
    <row r="309" spans="1:6" ht="13.5" thickBot="1" x14ac:dyDescent="0.25">
      <c r="A309" s="22" t="s">
        <v>106</v>
      </c>
      <c r="B309" s="26"/>
      <c r="C309" s="26"/>
      <c r="D309" s="27"/>
      <c r="E309" s="28"/>
      <c r="F309" s="20">
        <f>F298+F306</f>
        <v>16247.171604680882</v>
      </c>
    </row>
    <row r="310" spans="1:6" ht="16.5" thickBot="1" x14ac:dyDescent="0.25">
      <c r="A310" s="54"/>
      <c r="B310" s="54"/>
      <c r="C310" s="54"/>
      <c r="D310" s="55"/>
      <c r="E310" s="55"/>
      <c r="F310" s="55"/>
    </row>
    <row r="311" spans="1:6" x14ac:dyDescent="0.2">
      <c r="A311" s="181" t="s">
        <v>175</v>
      </c>
      <c r="B311" s="182"/>
      <c r="C311" s="182"/>
      <c r="D311" s="182"/>
      <c r="E311" s="183"/>
      <c r="F311" s="187">
        <f>F309*12-0.02</f>
        <v>194966.0392561706</v>
      </c>
    </row>
    <row r="312" spans="1:6" ht="13.5" thickBot="1" x14ac:dyDescent="0.25">
      <c r="A312" s="184"/>
      <c r="B312" s="185"/>
      <c r="C312" s="185"/>
      <c r="D312" s="185"/>
      <c r="E312" s="186"/>
      <c r="F312" s="188"/>
    </row>
    <row r="313" spans="1:6" x14ac:dyDescent="0.2">
      <c r="A313" s="32"/>
      <c r="B313" s="32"/>
      <c r="C313" s="32"/>
      <c r="D313" s="33"/>
      <c r="E313" s="33"/>
      <c r="F313" s="33"/>
    </row>
    <row r="314" spans="1:6" ht="15.75" x14ac:dyDescent="0.2">
      <c r="A314" s="37"/>
      <c r="B314" s="9"/>
      <c r="C314" s="9"/>
      <c r="D314" s="9"/>
      <c r="E314" s="9"/>
      <c r="F314" s="9"/>
    </row>
    <row r="315" spans="1:6" ht="15.75" x14ac:dyDescent="0.2">
      <c r="A315" s="37"/>
      <c r="B315" s="9"/>
      <c r="C315" s="9"/>
      <c r="D315" s="9"/>
      <c r="E315" s="9"/>
      <c r="F315" s="9"/>
    </row>
    <row r="316" spans="1:6" ht="15.75" x14ac:dyDescent="0.2">
      <c r="A316" s="37"/>
      <c r="B316" s="9"/>
      <c r="C316" s="9"/>
      <c r="D316" s="9"/>
      <c r="E316" s="9"/>
      <c r="F316" s="9"/>
    </row>
  </sheetData>
  <mergeCells count="13">
    <mergeCell ref="F311:F312"/>
    <mergeCell ref="A14:C14"/>
    <mergeCell ref="A36:E36"/>
    <mergeCell ref="A37:D37"/>
    <mergeCell ref="A42:D42"/>
    <mergeCell ref="A192:D192"/>
    <mergeCell ref="A311:E312"/>
    <mergeCell ref="A7:F7"/>
    <mergeCell ref="A1:F1"/>
    <mergeCell ref="A2:F2"/>
    <mergeCell ref="A3:F3"/>
    <mergeCell ref="A4:F4"/>
    <mergeCell ref="A5:F5"/>
  </mergeCells>
  <hyperlinks>
    <hyperlink ref="A136" location="AbaRemun" display="3.1.2. Remuneração do Capital" xr:uid="{487E7CF3-1F46-466A-BAC1-F4CA5E43B742}"/>
    <hyperlink ref="A120" location="AbaDeprec" display="3.1.1. Depreciação" xr:uid="{71F48DDE-B669-4B50-A082-2CA7D9E04035}"/>
    <hyperlink ref="A205" location="AbaRemun" display="3.1.2. Remuneração do Capital" xr:uid="{44E346B0-6148-42D9-852D-409ED4AEAA28}"/>
    <hyperlink ref="A194" location="AbaDeprec" display="3.1.1. Depreciação" xr:uid="{8A0E9EAC-0D60-4CD0-8FD5-7DEC8BC903AB}"/>
  </hyperlinks>
  <pageMargins left="0.78740157480314965" right="0.39370078740157483" top="0.78740157480314965" bottom="0.78740157480314965" header="0.31496062992125984" footer="0.31496062992125984"/>
  <pageSetup paperSize="9" scale="69" fitToHeight="0" orientation="portrait" horizontalDpi="0" verticalDpi="0" r:id="rId1"/>
  <rowBreaks count="5" manualBreakCount="5">
    <brk id="49" max="5" man="1"/>
    <brk id="72" max="5" man="1"/>
    <brk id="115" max="5" man="1"/>
    <brk id="182" max="5" man="1"/>
    <brk id="265" max="5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7"/>
  <sheetViews>
    <sheetView workbookViewId="0">
      <selection activeCell="A24" sqref="A24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145" t="s">
        <v>111</v>
      </c>
    </row>
    <row r="2" spans="1:1" x14ac:dyDescent="0.2">
      <c r="A2" s="142"/>
    </row>
    <row r="3" spans="1:1" x14ac:dyDescent="0.2">
      <c r="A3" s="142" t="s">
        <v>117</v>
      </c>
    </row>
    <row r="4" spans="1:1" x14ac:dyDescent="0.2">
      <c r="A4" s="142"/>
    </row>
    <row r="5" spans="1:1" x14ac:dyDescent="0.2">
      <c r="A5" s="142"/>
    </row>
    <row r="6" spans="1:1" x14ac:dyDescent="0.2">
      <c r="A6" s="142"/>
    </row>
    <row r="7" spans="1:1" x14ac:dyDescent="0.2">
      <c r="A7" s="142"/>
    </row>
    <row r="8" spans="1:1" x14ac:dyDescent="0.2">
      <c r="A8" s="142"/>
    </row>
    <row r="9" spans="1:1" x14ac:dyDescent="0.2">
      <c r="A9" s="142"/>
    </row>
    <row r="10" spans="1:1" x14ac:dyDescent="0.2">
      <c r="A10" s="142"/>
    </row>
    <row r="11" spans="1:1" x14ac:dyDescent="0.2">
      <c r="A11" s="142"/>
    </row>
    <row r="12" spans="1:1" ht="19.5" x14ac:dyDescent="0.35">
      <c r="A12" s="143" t="s">
        <v>108</v>
      </c>
    </row>
    <row r="13" spans="1:1" ht="15" x14ac:dyDescent="0.2">
      <c r="A13" s="143" t="s">
        <v>77</v>
      </c>
    </row>
    <row r="14" spans="1:1" ht="15" x14ac:dyDescent="0.2">
      <c r="A14" s="143" t="s">
        <v>81</v>
      </c>
    </row>
    <row r="15" spans="1:1" ht="19.5" x14ac:dyDescent="0.35">
      <c r="A15" s="143" t="s">
        <v>109</v>
      </c>
    </row>
    <row r="16" spans="1:1" ht="19.5" x14ac:dyDescent="0.35">
      <c r="A16" s="143" t="s">
        <v>110</v>
      </c>
    </row>
    <row r="17" spans="1:1" ht="15.75" thickBot="1" x14ac:dyDescent="0.25">
      <c r="A17" s="144" t="s">
        <v>78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PLANILHA DE COMP. DE CUSTO 1</vt:lpstr>
      <vt:lpstr>5. Depreciação</vt:lpstr>
      <vt:lpstr>PLANILHA DE COMP. DE CUSTO 2</vt:lpstr>
      <vt:lpstr>6.Remuneração de capital</vt:lpstr>
      <vt:lpstr>AbaDeprec</vt:lpstr>
      <vt:lpstr>AbaRemun</vt:lpstr>
      <vt:lpstr>'PLANILHA DE COMP. DE CUSTO 1'!Area_de_impressao</vt:lpstr>
      <vt:lpstr>'PLANILHA DE COMP. DE CUSTO 2'!Area_de_impressao</vt:lpstr>
      <vt:lpstr>'PLANILHA DE COMP. DE CUSTO 1'!Titulos_de_impressao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OBRASNOVO01</cp:lastModifiedBy>
  <cp:lastPrinted>2022-07-01T12:43:27Z</cp:lastPrinted>
  <dcterms:created xsi:type="dcterms:W3CDTF">2000-12-13T10:02:50Z</dcterms:created>
  <dcterms:modified xsi:type="dcterms:W3CDTF">2022-07-01T12:44:49Z</dcterms:modified>
</cp:coreProperties>
</file>